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 activeTab="2"/>
  </bookViews>
  <sheets>
    <sheet name="街巷（设施量内）" sheetId="1" r:id="rId1"/>
    <sheet name="设施量外街巷" sheetId="2" r:id="rId2"/>
    <sheet name="设施量外公厕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<sst xmlns="http://schemas.openxmlformats.org/spreadsheetml/2006/main" count="409" uniqueCount="257">
  <si>
    <t>序号</t>
  </si>
  <si>
    <t>街巷名称</t>
  </si>
  <si>
    <t>起点</t>
  </si>
  <si>
    <t>止点</t>
  </si>
  <si>
    <t>保洁级别</t>
  </si>
  <si>
    <t>全长（m）</t>
  </si>
  <si>
    <t>幅宽（m）</t>
  </si>
  <si>
    <t>面积(万㎡)</t>
  </si>
  <si>
    <t>车行道面积(万㎡)</t>
  </si>
  <si>
    <t>人行道面积(万㎡)</t>
  </si>
  <si>
    <t>路外保洁面积(万㎡)</t>
  </si>
  <si>
    <t>保洁面积(万㎡)</t>
  </si>
  <si>
    <t>分隔带绿岛面积(万㎡)</t>
  </si>
  <si>
    <t>四卫头</t>
  </si>
  <si>
    <t>江苏路（江苏路口）</t>
  </si>
  <si>
    <t>人和街（人和街口）</t>
  </si>
  <si>
    <t>繁华</t>
  </si>
  <si>
    <t>人和街</t>
  </si>
  <si>
    <t>中山北路</t>
  </si>
  <si>
    <t>祁家桥（老菜市公厕）</t>
  </si>
  <si>
    <t>西桥</t>
  </si>
  <si>
    <t>云南路（云南路口）</t>
  </si>
  <si>
    <t>江苏路</t>
  </si>
  <si>
    <t>北四卫头</t>
  </si>
  <si>
    <t>祁家桥</t>
  </si>
  <si>
    <t>三步两桥</t>
  </si>
  <si>
    <t>模范中路</t>
  </si>
  <si>
    <t>三步两桥20号</t>
  </si>
  <si>
    <t>三步两桥（三步两桥口）</t>
  </si>
  <si>
    <t>电工新村</t>
  </si>
  <si>
    <t>水佐岗</t>
  </si>
  <si>
    <t>康藏路</t>
  </si>
  <si>
    <t>西流湾</t>
  </si>
  <si>
    <t>虹桥</t>
  </si>
  <si>
    <t>乐业村</t>
  </si>
  <si>
    <t>湖北路</t>
  </si>
  <si>
    <t>高云岭</t>
  </si>
  <si>
    <t>湖南路</t>
  </si>
  <si>
    <t>厚载巷</t>
  </si>
  <si>
    <t>文云巷</t>
  </si>
  <si>
    <t>中央路</t>
  </si>
  <si>
    <t>云南北路</t>
  </si>
  <si>
    <t>付厚岗（傅厚岗）</t>
  </si>
  <si>
    <t>狮子桥支路</t>
  </si>
  <si>
    <t>狮子桥</t>
  </si>
  <si>
    <t>四条巷</t>
  </si>
  <si>
    <t>大方巷</t>
  </si>
  <si>
    <t>北京西路</t>
  </si>
  <si>
    <t>平安里</t>
  </si>
  <si>
    <t>司背后</t>
  </si>
  <si>
    <t>童家巷</t>
  </si>
  <si>
    <t>渊声巷</t>
  </si>
  <si>
    <t>二条巷</t>
  </si>
  <si>
    <t>头条巷</t>
  </si>
  <si>
    <t>鼓楼街</t>
  </si>
  <si>
    <t>二条巷一巷</t>
  </si>
  <si>
    <t>五条巷</t>
  </si>
  <si>
    <t>云南路</t>
  </si>
  <si>
    <t>付佐路</t>
  </si>
  <si>
    <t>山西路</t>
  </si>
  <si>
    <t>西瓜圃桥</t>
  </si>
  <si>
    <t>三牌楼大街</t>
  </si>
  <si>
    <t>新门口</t>
  </si>
  <si>
    <t>广东支路</t>
  </si>
  <si>
    <t>广东路（广东路41号）</t>
  </si>
  <si>
    <t>颂德里南街</t>
  </si>
  <si>
    <t>交通一村</t>
  </si>
  <si>
    <t>老模路、125巷</t>
  </si>
  <si>
    <t>南瑞路</t>
  </si>
  <si>
    <t>广东路（广东路口）</t>
  </si>
  <si>
    <t>铁路南街</t>
  </si>
  <si>
    <t>新模范马路</t>
  </si>
  <si>
    <t>龙仓巷</t>
  </si>
  <si>
    <t>马台街</t>
  </si>
  <si>
    <t>斜桥</t>
  </si>
  <si>
    <t>三牌楼大街（三牌楼大街口）</t>
  </si>
  <si>
    <t>芦席营</t>
  </si>
  <si>
    <t>新模范马路（模范马路口）</t>
  </si>
  <si>
    <t>马家街（十字路口马家街28号）</t>
  </si>
  <si>
    <t>马家街</t>
  </si>
  <si>
    <t>马家街47号</t>
  </si>
  <si>
    <t>南昌路</t>
  </si>
  <si>
    <t>金贸大街（芦席营北段）</t>
  </si>
  <si>
    <t>中央路（中央路口）</t>
  </si>
  <si>
    <t>长江新村路(南瑞宾馆）</t>
  </si>
  <si>
    <t>金贸大街</t>
  </si>
  <si>
    <t>江西路</t>
  </si>
  <si>
    <t>许府巷（许府巷口）</t>
  </si>
  <si>
    <t>洪庙巷</t>
  </si>
  <si>
    <t>洪庙巷1号</t>
  </si>
  <si>
    <t>洪庙巷16号</t>
  </si>
  <si>
    <t>双门楼</t>
  </si>
  <si>
    <t>戴家巷</t>
  </si>
  <si>
    <t>虎踞北路</t>
  </si>
  <si>
    <t>龙池庵</t>
  </si>
  <si>
    <t>戴家巷（戴家巷幼儿园）</t>
  </si>
  <si>
    <t>南祖师庵（龙池庵中转站）</t>
  </si>
  <si>
    <t>中山北路（戴家巷幼儿园）</t>
  </si>
  <si>
    <t>云轩山庄</t>
  </si>
  <si>
    <t>晚市（回龙桥）</t>
  </si>
  <si>
    <t>晚市1号巷</t>
  </si>
  <si>
    <t>廻龙桥</t>
  </si>
  <si>
    <t>镇江路（晚市1号巷6号）</t>
  </si>
  <si>
    <t>校门口（农贸市场）</t>
  </si>
  <si>
    <t>校门口</t>
  </si>
  <si>
    <t>廻龙桥（镇江路农贸市场外）</t>
  </si>
  <si>
    <t>妙峰庵</t>
  </si>
  <si>
    <t>铁路北街</t>
  </si>
  <si>
    <t>镇江路</t>
  </si>
  <si>
    <t>察哈尔路</t>
  </si>
  <si>
    <t>南祖师庵</t>
  </si>
  <si>
    <t>佳盛花园路</t>
  </si>
  <si>
    <t>模范西路</t>
  </si>
  <si>
    <t>金盛花园25号</t>
  </si>
  <si>
    <t>省疾控中心旁路（福泰巷）</t>
  </si>
  <si>
    <t>鼓楼新村</t>
  </si>
  <si>
    <t>宁海路口</t>
  </si>
  <si>
    <t>北阴阳营</t>
  </si>
  <si>
    <t>北京西路（市政宿舍）</t>
  </si>
  <si>
    <t>人武部（祁佐巷）</t>
  </si>
  <si>
    <t>童家山</t>
  </si>
  <si>
    <t>机专学校后门</t>
  </si>
  <si>
    <t>宁夏路</t>
  </si>
  <si>
    <t>西康路（西康路口）</t>
  </si>
  <si>
    <t>马鞍山2号</t>
  </si>
  <si>
    <t>琅琊路</t>
  </si>
  <si>
    <t>西康路</t>
  </si>
  <si>
    <t>莫干路</t>
  </si>
  <si>
    <t>琅琊新村</t>
  </si>
  <si>
    <t>西康新村（西康新村口）</t>
  </si>
  <si>
    <t>西康新村</t>
  </si>
  <si>
    <t>宁夏路（宁夏路口）</t>
  </si>
  <si>
    <t>厚载巷（云载巷）</t>
  </si>
  <si>
    <t>青云巷</t>
  </si>
  <si>
    <t>车站东巷</t>
  </si>
  <si>
    <t>付厚岗（云南北路）</t>
  </si>
  <si>
    <t>青石村路（紫竹林路）</t>
  </si>
  <si>
    <t>新模范马路（模范马路）</t>
  </si>
  <si>
    <t>工人新村路（桥口）</t>
  </si>
  <si>
    <t>许府巷</t>
  </si>
  <si>
    <t>黑龙江路</t>
  </si>
  <si>
    <t>南昌路路（小桥口）</t>
  </si>
  <si>
    <t>许府巷（二中路）</t>
  </si>
  <si>
    <t>珞珈路</t>
  </si>
  <si>
    <t>灵隐路</t>
  </si>
  <si>
    <t>牯岭路</t>
  </si>
  <si>
    <t>天竺路</t>
  </si>
  <si>
    <t>普陀路</t>
  </si>
  <si>
    <t>赤壁路</t>
  </si>
  <si>
    <t>新泉里</t>
  </si>
  <si>
    <t>中山北里（路）</t>
  </si>
  <si>
    <t>宁颐巷</t>
  </si>
  <si>
    <t>西康新村5幢</t>
  </si>
  <si>
    <t>马鞍山路</t>
  </si>
  <si>
    <t>天津新村小区大门</t>
  </si>
  <si>
    <t>虎踞里</t>
  </si>
  <si>
    <t>停车场大门</t>
  </si>
  <si>
    <t>小计</t>
  </si>
  <si>
    <t>晏公庙</t>
  </si>
  <si>
    <t>定淮门桥</t>
  </si>
  <si>
    <t>普通</t>
  </si>
  <si>
    <t>竹林新村（水佐岗48巷 ）</t>
  </si>
  <si>
    <t>裴家桥</t>
  </si>
  <si>
    <t>文云巷支路</t>
  </si>
  <si>
    <t>宁海中学后门</t>
  </si>
  <si>
    <t>付厚岗支路</t>
  </si>
  <si>
    <t>付厚岗32-1号</t>
  </si>
  <si>
    <t>（付厚岗66号）66号</t>
  </si>
  <si>
    <t>三条巷</t>
  </si>
  <si>
    <t>二条巷二巷</t>
  </si>
  <si>
    <t>颂德里北街</t>
  </si>
  <si>
    <t>颂德里</t>
  </si>
  <si>
    <t>狗耳巷</t>
  </si>
  <si>
    <t>三牌楼大街1—5号前</t>
  </si>
  <si>
    <t>金贸花园路</t>
  </si>
  <si>
    <t>工人新村路（金贸大街）</t>
  </si>
  <si>
    <t>童家巷43巷</t>
  </si>
  <si>
    <t>童家巷（童家巷公厕口）</t>
  </si>
  <si>
    <t>洪庙一巷</t>
  </si>
  <si>
    <t>福建路</t>
  </si>
  <si>
    <t>护城河南路（宝宁公司）</t>
  </si>
  <si>
    <t>橡胶厂路</t>
  </si>
  <si>
    <t>鼓楼区河道指挥部</t>
  </si>
  <si>
    <t>钟阜路</t>
  </si>
  <si>
    <t>护城河南路</t>
  </si>
  <si>
    <t>古平岗</t>
  </si>
  <si>
    <t>模范西路（古平岗18号）</t>
  </si>
  <si>
    <t>归云堂</t>
  </si>
  <si>
    <t>宏业村</t>
  </si>
  <si>
    <t>戴家巷幼儿园</t>
  </si>
  <si>
    <t>金城路（金城花园）</t>
  </si>
  <si>
    <t>丁山宾馆</t>
  </si>
  <si>
    <t>金城花园大门（归云堂）</t>
  </si>
  <si>
    <t>察哈尔路十二巷</t>
  </si>
  <si>
    <t>西藏路（江西路）</t>
  </si>
  <si>
    <t>福连路</t>
  </si>
  <si>
    <t>钟阜路1-8</t>
  </si>
  <si>
    <t>合计</t>
  </si>
  <si>
    <t>编号</t>
  </si>
  <si>
    <t>街巷起点</t>
  </si>
  <si>
    <t>街巷止点</t>
  </si>
  <si>
    <t>街巷全长（m）</t>
  </si>
  <si>
    <t>街巷幅宽（m）</t>
  </si>
  <si>
    <t>街巷面积(万㎡)</t>
  </si>
  <si>
    <t>福润巷</t>
  </si>
  <si>
    <t>鼓楼区人民政府东门</t>
  </si>
  <si>
    <t>爱民桥公厕城墙前小路</t>
  </si>
  <si>
    <t>爱民桥公厕</t>
  </si>
  <si>
    <t>黑龙江2巷小区城墙边</t>
  </si>
  <si>
    <t>黑龙江二巷</t>
  </si>
  <si>
    <t>金川河南路(钟阜东街)</t>
  </si>
  <si>
    <t>爱民桥</t>
  </si>
  <si>
    <t>南瑞路(新开发无路名)</t>
  </si>
  <si>
    <t>河西岸断头路</t>
  </si>
  <si>
    <t>166巷</t>
  </si>
  <si>
    <t>三牌楼菜场</t>
  </si>
  <si>
    <t>邮电大学西门</t>
  </si>
  <si>
    <t>南邮西门桥</t>
  </si>
  <si>
    <t>南邮西门门口</t>
  </si>
  <si>
    <t>广东路</t>
  </si>
  <si>
    <t>一三一巷</t>
  </si>
  <si>
    <t>一三一巷50号门口</t>
  </si>
  <si>
    <t>东瓜圃桥10号</t>
  </si>
  <si>
    <t>东瓜圃桥口</t>
  </si>
  <si>
    <t>金川河景观带口</t>
  </si>
  <si>
    <t>紫竹林路</t>
  </si>
  <si>
    <t>紫竹林58号</t>
  </si>
  <si>
    <t>黑龙江路菜场</t>
  </si>
  <si>
    <t>中央门社区医院</t>
  </si>
  <si>
    <t>金蓓蕾幼儿园</t>
  </si>
  <si>
    <t>江西路5号</t>
  </si>
  <si>
    <t>药科大学围墙外</t>
  </si>
  <si>
    <t>药科大学大门口</t>
  </si>
  <si>
    <t>操场公厕</t>
  </si>
  <si>
    <t>马家街与芦席营路口</t>
  </si>
  <si>
    <t>校门口1号</t>
  </si>
  <si>
    <t>回龙桥社区</t>
  </si>
  <si>
    <t>曾水源墓</t>
  </si>
  <si>
    <t>戴家巷27号</t>
  </si>
  <si>
    <t>镇江路61号</t>
  </si>
  <si>
    <t>47号楼西侧</t>
  </si>
  <si>
    <t>归云堂十五巷</t>
  </si>
  <si>
    <t>洪庙巷
（含铁路北街桥南侧道路至
徐州赵家全羊馆门前道路）</t>
  </si>
  <si>
    <t>小粉桥二八巷</t>
  </si>
  <si>
    <t>小粉桥</t>
  </si>
  <si>
    <t>中山路</t>
  </si>
  <si>
    <t>中央路西侧</t>
  </si>
  <si>
    <t>中央路绿地洲际酒店东</t>
  </si>
  <si>
    <t>名称</t>
  </si>
  <si>
    <t>公厕等级</t>
  </si>
  <si>
    <r>
      <rPr>
        <sz val="12"/>
        <color theme="1"/>
        <rFont val="方正仿宋_GBK"/>
        <charset val="134"/>
      </rPr>
      <t>古平岗一号南院公厕</t>
    </r>
  </si>
  <si>
    <r>
      <rPr>
        <sz val="12"/>
        <color theme="1"/>
        <rFont val="方正仿宋_GBK"/>
        <charset val="134"/>
      </rPr>
      <t>二类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</si>
  <si>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方正仿宋_GBK"/>
        <charset val="134"/>
      </rPr>
      <t>橡胶厂路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</si>
  <si>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二类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</si>
  <si>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方正仿宋_GBK"/>
        <charset val="134"/>
      </rPr>
      <t>黑龙江路十二巷</t>
    </r>
  </si>
  <si>
    <r>
      <rPr>
        <sz val="12"/>
        <color theme="1"/>
        <rFont val="方正仿宋_GBK"/>
        <charset val="134"/>
      </rPr>
      <t>丁家桥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方正仿宋_GBK"/>
        <charset val="134"/>
      </rPr>
      <t>片</t>
    </r>
  </si>
  <si>
    <r>
      <rPr>
        <b/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</si>
</sst>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0_ "/>
    <numFmt numFmtId="179" formatCode="0.0_ "/>
    <numFmt numFmtId="180" formatCode="0.00_);\(0.00\)"/>
    <numFmt numFmtId="181" formatCode="0.000_);[Red]\(0.000\)"/>
    <numFmt numFmtId="182" formatCode="0.000_);\(0.000\)"/>
    <numFmt numFmtId="183" formatCode="0.00_);[Red]\(0.00\)"/>
    <numFmt numFmtId="184" formatCode="#,##0_);\-#,##0"/>
  </numFmts>
  <fonts count="37">
    <font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8"/>
      <name val="FangSong"/>
      <charset val="134"/>
    </font>
    <font>
      <sz val="8"/>
      <name val="方正仿宋简体"/>
      <charset val="134"/>
    </font>
    <font>
      <b/>
      <sz val="8"/>
      <name val="方正仿宋简体"/>
      <charset val="134"/>
    </font>
    <font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0"/>
      <name val="Arial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 applyNumberFormat="0" applyFill="0" applyBorder="0" applyProtection="0">
      <alignment vertical="top" wrapText="1"/>
    </xf>
    <xf numFmtId="0" fontId="33" fillId="0" borderId="0" applyNumberFormat="0" applyFill="0" applyBorder="0" applyProtection="0">
      <alignment vertical="top" wrapText="1"/>
    </xf>
    <xf numFmtId="0" fontId="33" fillId="0" borderId="0" applyNumberFormat="0" applyFill="0" applyBorder="0" applyProtection="0">
      <alignment vertical="top" wrapText="1"/>
    </xf>
    <xf numFmtId="0" fontId="5" fillId="0" borderId="0"/>
    <xf numFmtId="0" fontId="34" fillId="0" borderId="0"/>
    <xf numFmtId="0" fontId="5" fillId="0" borderId="0">
      <alignment vertical="center"/>
    </xf>
    <xf numFmtId="0" fontId="5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1" xfId="60" applyFont="1" applyFill="1" applyBorder="1" applyAlignment="1">
      <alignment horizontal="center" vertical="center" wrapText="1"/>
    </xf>
    <xf numFmtId="176" fontId="2" fillId="2" borderId="1" xfId="61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176" fontId="3" fillId="2" borderId="1" xfId="61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55" applyFont="1" applyBorder="1" applyAlignment="1" applyProtection="1">
      <alignment horizontal="center" vertical="center" wrapText="1"/>
      <protection locked="0"/>
    </xf>
    <xf numFmtId="178" fontId="7" fillId="0" borderId="1" xfId="52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8" fontId="7" fillId="0" borderId="1" xfId="55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55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 wrapText="1"/>
    </xf>
    <xf numFmtId="183" fontId="8" fillId="0" borderId="0" xfId="0" applyNumberFormat="1" applyFont="1" applyAlignment="1"/>
    <xf numFmtId="0" fontId="9" fillId="0" borderId="0" xfId="0" applyFont="1">
      <alignment vertical="center"/>
    </xf>
    <xf numFmtId="0" fontId="10" fillId="0" borderId="1" xfId="59" applyFont="1" applyBorder="1" applyAlignment="1">
      <alignment horizontal="center" vertical="center" wrapText="1"/>
    </xf>
    <xf numFmtId="176" fontId="10" fillId="0" borderId="1" xfId="59" applyNumberFormat="1" applyFont="1" applyBorder="1" applyAlignment="1">
      <alignment horizontal="center" vertical="center" wrapText="1"/>
    </xf>
    <xf numFmtId="183" fontId="10" fillId="0" borderId="1" xfId="59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83" fontId="11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83" fontId="11" fillId="0" borderId="1" xfId="54" applyNumberFormat="1" applyFont="1" applyBorder="1" applyAlignment="1">
      <alignment horizontal="center" vertical="center" wrapText="1" shrinkToFit="1"/>
    </xf>
    <xf numFmtId="2" fontId="11" fillId="0" borderId="1" xfId="0" applyNumberFormat="1" applyFont="1" applyBorder="1" applyAlignment="1">
      <alignment horizontal="center" vertical="center" wrapText="1"/>
    </xf>
    <xf numFmtId="184" fontId="11" fillId="0" borderId="1" xfId="56" applyNumberFormat="1" applyFont="1" applyFill="1" applyBorder="1" applyAlignment="1">
      <alignment horizontal="center" vertical="center" wrapText="1" shrinkToFit="1"/>
    </xf>
    <xf numFmtId="183" fontId="11" fillId="0" borderId="1" xfId="57" applyNumberFormat="1" applyFont="1" applyFill="1" applyBorder="1" applyAlignment="1">
      <alignment horizontal="center" vertical="center" wrapText="1" shrinkToFit="1"/>
    </xf>
    <xf numFmtId="183" fontId="11" fillId="0" borderId="1" xfId="58" applyNumberFormat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83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83" fontId="13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10 5 2 2 2" xfId="50"/>
    <cellStyle name="常规 11" xfId="51"/>
    <cellStyle name="常规 14 2" xfId="52"/>
    <cellStyle name="常规 5" xfId="53"/>
    <cellStyle name="常规 9 2_2012年秦淮" xfId="54"/>
    <cellStyle name="常规_Sheet1" xfId="55"/>
    <cellStyle name="常规_道路设施量_19" xfId="56"/>
    <cellStyle name="常规_道路设施量_21" xfId="57"/>
    <cellStyle name="常规_道路设施量_6_道路" xfId="58"/>
    <cellStyle name="常规_各区新增道路明细" xfId="59"/>
    <cellStyle name="常规_下关公厕_1" xfId="60"/>
    <cellStyle name="常规_下关公厕和中转站 4" xfId="61"/>
    <cellStyle name="常规_下关公厕和中转站 6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opLeftCell="A6" workbookViewId="0">
      <selection activeCell="A19" sqref="$A19:$XFD19"/>
    </sheetView>
  </sheetViews>
  <sheetFormatPr defaultColWidth="9" defaultRowHeight="14"/>
  <cols>
    <col min="1" max="16384" width="9" style="29"/>
  </cols>
  <sheetData>
    <row r="1" s="28" customFormat="1" ht="24.65" customHeight="1" spans="1:13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</row>
    <row r="2" spans="1:13">
      <c r="A2" s="33">
        <v>1</v>
      </c>
      <c r="B2" s="33" t="s">
        <v>13</v>
      </c>
      <c r="C2" s="33" t="s">
        <v>14</v>
      </c>
      <c r="D2" s="33" t="s">
        <v>15</v>
      </c>
      <c r="E2" s="34" t="s">
        <v>16</v>
      </c>
      <c r="F2" s="35">
        <v>300</v>
      </c>
      <c r="G2" s="35">
        <v>15.5</v>
      </c>
      <c r="H2" s="35">
        <v>0.46</v>
      </c>
      <c r="I2" s="35">
        <v>0.46</v>
      </c>
      <c r="J2" s="35"/>
      <c r="K2" s="35"/>
      <c r="L2" s="35">
        <v>0.46</v>
      </c>
      <c r="M2" s="45"/>
    </row>
    <row r="3" spans="1:13">
      <c r="A3" s="33"/>
      <c r="B3" s="33"/>
      <c r="C3" s="33"/>
      <c r="D3" s="33"/>
      <c r="E3" s="36"/>
      <c r="F3" s="35">
        <v>150</v>
      </c>
      <c r="G3" s="35">
        <v>12.5</v>
      </c>
      <c r="H3" s="35">
        <f t="shared" ref="H3:H66" si="0">F3*G3/10000</f>
        <v>0.1875</v>
      </c>
      <c r="I3" s="35">
        <f t="shared" ref="I3:I9" si="1">F3*G3/10000</f>
        <v>0.1875</v>
      </c>
      <c r="J3" s="35"/>
      <c r="K3" s="35"/>
      <c r="L3" s="35">
        <f t="shared" ref="L3:L53" si="2">I3+J3+K3</f>
        <v>0.1875</v>
      </c>
      <c r="M3" s="45"/>
    </row>
    <row r="4" spans="1:13">
      <c r="A4" s="37">
        <v>2</v>
      </c>
      <c r="B4" s="33" t="s">
        <v>17</v>
      </c>
      <c r="C4" s="33" t="s">
        <v>18</v>
      </c>
      <c r="D4" s="33" t="s">
        <v>19</v>
      </c>
      <c r="E4" s="36"/>
      <c r="F4" s="35">
        <v>100</v>
      </c>
      <c r="G4" s="35">
        <v>7</v>
      </c>
      <c r="H4" s="35">
        <f t="shared" si="0"/>
        <v>0.07</v>
      </c>
      <c r="I4" s="35">
        <f t="shared" si="1"/>
        <v>0.07</v>
      </c>
      <c r="J4" s="35"/>
      <c r="K4" s="35"/>
      <c r="L4" s="35">
        <f t="shared" si="2"/>
        <v>0.07</v>
      </c>
      <c r="M4" s="45"/>
    </row>
    <row r="5" spans="1:13">
      <c r="A5" s="38"/>
      <c r="B5" s="33"/>
      <c r="C5" s="33"/>
      <c r="D5" s="33"/>
      <c r="E5" s="36"/>
      <c r="F5" s="35">
        <v>100</v>
      </c>
      <c r="G5" s="35">
        <v>11.2</v>
      </c>
      <c r="H5" s="35">
        <f t="shared" si="0"/>
        <v>0.112</v>
      </c>
      <c r="I5" s="35">
        <f t="shared" si="1"/>
        <v>0.112</v>
      </c>
      <c r="J5" s="35"/>
      <c r="K5" s="35"/>
      <c r="L5" s="35">
        <f t="shared" si="2"/>
        <v>0.112</v>
      </c>
      <c r="M5" s="45"/>
    </row>
    <row r="6" spans="1:13">
      <c r="A6" s="39"/>
      <c r="B6" s="33"/>
      <c r="C6" s="33"/>
      <c r="D6" s="33"/>
      <c r="E6" s="36"/>
      <c r="F6" s="35">
        <v>250</v>
      </c>
      <c r="G6" s="35">
        <v>18.7</v>
      </c>
      <c r="H6" s="35">
        <f t="shared" si="0"/>
        <v>0.4675</v>
      </c>
      <c r="I6" s="35">
        <f>250*10.7/10000</f>
        <v>0.2675</v>
      </c>
      <c r="J6" s="35">
        <f>250*4*2/10000</f>
        <v>0.2</v>
      </c>
      <c r="K6" s="35"/>
      <c r="L6" s="35">
        <f t="shared" si="2"/>
        <v>0.4675</v>
      </c>
      <c r="M6" s="45"/>
    </row>
    <row r="7" ht="19" spans="1:13">
      <c r="A7" s="40">
        <v>3</v>
      </c>
      <c r="B7" s="33" t="s">
        <v>20</v>
      </c>
      <c r="C7" s="33" t="s">
        <v>21</v>
      </c>
      <c r="D7" s="33" t="s">
        <v>22</v>
      </c>
      <c r="E7" s="36"/>
      <c r="F7" s="35">
        <v>500</v>
      </c>
      <c r="G7" s="35">
        <v>14.1</v>
      </c>
      <c r="H7" s="35">
        <f t="shared" si="0"/>
        <v>0.705</v>
      </c>
      <c r="I7" s="35">
        <f>500*6.1/10000</f>
        <v>0.305</v>
      </c>
      <c r="J7" s="35">
        <f>500*4*2/10000</f>
        <v>0.4</v>
      </c>
      <c r="K7" s="35"/>
      <c r="L7" s="35">
        <f t="shared" si="2"/>
        <v>0.705</v>
      </c>
      <c r="M7" s="45"/>
    </row>
    <row r="8" spans="1:13">
      <c r="A8" s="37">
        <v>4</v>
      </c>
      <c r="B8" s="41" t="s">
        <v>23</v>
      </c>
      <c r="C8" s="41" t="s">
        <v>18</v>
      </c>
      <c r="D8" s="41" t="s">
        <v>24</v>
      </c>
      <c r="E8" s="36"/>
      <c r="F8" s="35">
        <v>200</v>
      </c>
      <c r="G8" s="35">
        <v>8.6</v>
      </c>
      <c r="H8" s="35">
        <f t="shared" si="0"/>
        <v>0.172</v>
      </c>
      <c r="I8" s="35">
        <f t="shared" si="1"/>
        <v>0.172</v>
      </c>
      <c r="J8" s="35"/>
      <c r="K8" s="35"/>
      <c r="L8" s="35">
        <f t="shared" si="2"/>
        <v>0.172</v>
      </c>
      <c r="M8" s="45"/>
    </row>
    <row r="9" spans="1:13">
      <c r="A9" s="39"/>
      <c r="B9" s="42"/>
      <c r="C9" s="42"/>
      <c r="D9" s="42"/>
      <c r="E9" s="36"/>
      <c r="F9" s="35">
        <v>300</v>
      </c>
      <c r="G9" s="35">
        <v>6.5</v>
      </c>
      <c r="H9" s="35">
        <f t="shared" si="0"/>
        <v>0.195</v>
      </c>
      <c r="I9" s="35">
        <f t="shared" si="1"/>
        <v>0.195</v>
      </c>
      <c r="J9" s="35"/>
      <c r="K9" s="35"/>
      <c r="L9" s="35">
        <f t="shared" si="2"/>
        <v>0.195</v>
      </c>
      <c r="M9" s="45"/>
    </row>
    <row r="10" spans="1:13">
      <c r="A10" s="37">
        <v>5</v>
      </c>
      <c r="B10" s="41" t="s">
        <v>25</v>
      </c>
      <c r="C10" s="33" t="s">
        <v>18</v>
      </c>
      <c r="D10" s="33" t="s">
        <v>26</v>
      </c>
      <c r="E10" s="36"/>
      <c r="F10" s="35">
        <v>200</v>
      </c>
      <c r="G10" s="35">
        <v>12</v>
      </c>
      <c r="H10" s="35">
        <f t="shared" si="0"/>
        <v>0.24</v>
      </c>
      <c r="I10" s="35">
        <f>200*8/10000</f>
        <v>0.16</v>
      </c>
      <c r="J10" s="35">
        <f>200*2*2/10000</f>
        <v>0.08</v>
      </c>
      <c r="K10" s="35"/>
      <c r="L10" s="35">
        <f t="shared" si="2"/>
        <v>0.24</v>
      </c>
      <c r="M10" s="45"/>
    </row>
    <row r="11" ht="19" spans="1:13">
      <c r="A11" s="39"/>
      <c r="B11" s="42"/>
      <c r="C11" s="33" t="s">
        <v>26</v>
      </c>
      <c r="D11" s="33" t="s">
        <v>27</v>
      </c>
      <c r="E11" s="36"/>
      <c r="F11" s="35">
        <v>213</v>
      </c>
      <c r="G11" s="35">
        <v>7.5</v>
      </c>
      <c r="H11" s="35">
        <f t="shared" si="0"/>
        <v>0.15975</v>
      </c>
      <c r="I11" s="35">
        <f t="shared" ref="I11:I27" si="3">F11*G11/10000</f>
        <v>0.15975</v>
      </c>
      <c r="J11" s="35"/>
      <c r="K11" s="35"/>
      <c r="L11" s="35">
        <f t="shared" si="2"/>
        <v>0.15975</v>
      </c>
      <c r="M11" s="45"/>
    </row>
    <row r="12" ht="28.5" spans="1:13">
      <c r="A12" s="40">
        <v>6</v>
      </c>
      <c r="B12" s="33" t="s">
        <v>24</v>
      </c>
      <c r="C12" s="33" t="s">
        <v>15</v>
      </c>
      <c r="D12" s="33" t="s">
        <v>28</v>
      </c>
      <c r="E12" s="36"/>
      <c r="F12" s="35">
        <v>300</v>
      </c>
      <c r="G12" s="35">
        <v>15</v>
      </c>
      <c r="H12" s="35">
        <f t="shared" si="0"/>
        <v>0.45</v>
      </c>
      <c r="I12" s="35">
        <f t="shared" si="3"/>
        <v>0.45</v>
      </c>
      <c r="J12" s="35"/>
      <c r="K12" s="35"/>
      <c r="L12" s="35">
        <f t="shared" si="2"/>
        <v>0.45</v>
      </c>
      <c r="M12" s="45"/>
    </row>
    <row r="13" spans="1:13">
      <c r="A13" s="40">
        <v>7</v>
      </c>
      <c r="B13" s="33" t="s">
        <v>29</v>
      </c>
      <c r="C13" s="33" t="s">
        <v>30</v>
      </c>
      <c r="D13" s="33" t="s">
        <v>24</v>
      </c>
      <c r="E13" s="36"/>
      <c r="F13" s="35">
        <v>500</v>
      </c>
      <c r="G13" s="35">
        <v>16</v>
      </c>
      <c r="H13" s="35">
        <f t="shared" si="0"/>
        <v>0.8</v>
      </c>
      <c r="I13" s="35">
        <f t="shared" si="3"/>
        <v>0.8</v>
      </c>
      <c r="J13" s="35"/>
      <c r="K13" s="35"/>
      <c r="L13" s="35">
        <f t="shared" si="2"/>
        <v>0.8</v>
      </c>
      <c r="M13" s="45"/>
    </row>
    <row r="14" spans="1:13">
      <c r="A14" s="40">
        <v>8</v>
      </c>
      <c r="B14" s="33" t="s">
        <v>31</v>
      </c>
      <c r="C14" s="33" t="s">
        <v>26</v>
      </c>
      <c r="D14" s="33" t="s">
        <v>30</v>
      </c>
      <c r="E14" s="36"/>
      <c r="F14" s="35">
        <v>200</v>
      </c>
      <c r="G14" s="35">
        <v>13</v>
      </c>
      <c r="H14" s="35">
        <f t="shared" si="0"/>
        <v>0.26</v>
      </c>
      <c r="I14" s="35">
        <f t="shared" si="3"/>
        <v>0.26</v>
      </c>
      <c r="J14" s="35"/>
      <c r="K14" s="35"/>
      <c r="L14" s="35">
        <f t="shared" si="2"/>
        <v>0.26</v>
      </c>
      <c r="M14" s="45"/>
    </row>
    <row r="15" spans="1:13">
      <c r="A15" s="40">
        <v>9</v>
      </c>
      <c r="B15" s="33" t="s">
        <v>32</v>
      </c>
      <c r="C15" s="33" t="s">
        <v>18</v>
      </c>
      <c r="D15" s="33" t="s">
        <v>33</v>
      </c>
      <c r="E15" s="36"/>
      <c r="F15" s="35">
        <v>450</v>
      </c>
      <c r="G15" s="35">
        <v>7</v>
      </c>
      <c r="H15" s="35">
        <f t="shared" si="0"/>
        <v>0.315</v>
      </c>
      <c r="I15" s="35">
        <f t="shared" si="3"/>
        <v>0.315</v>
      </c>
      <c r="J15" s="35"/>
      <c r="K15" s="35"/>
      <c r="L15" s="35">
        <f t="shared" si="2"/>
        <v>0.315</v>
      </c>
      <c r="M15" s="45"/>
    </row>
    <row r="16" spans="1:13">
      <c r="A16" s="40">
        <v>10</v>
      </c>
      <c r="B16" s="33" t="s">
        <v>34</v>
      </c>
      <c r="C16" s="33" t="s">
        <v>18</v>
      </c>
      <c r="D16" s="33" t="s">
        <v>35</v>
      </c>
      <c r="E16" s="36"/>
      <c r="F16" s="35">
        <v>185</v>
      </c>
      <c r="G16" s="35">
        <v>8</v>
      </c>
      <c r="H16" s="35">
        <f t="shared" si="0"/>
        <v>0.148</v>
      </c>
      <c r="I16" s="35">
        <f t="shared" si="3"/>
        <v>0.148</v>
      </c>
      <c r="J16" s="35"/>
      <c r="K16" s="35"/>
      <c r="L16" s="35">
        <f t="shared" si="2"/>
        <v>0.148</v>
      </c>
      <c r="M16" s="45"/>
    </row>
    <row r="17" spans="1:13">
      <c r="A17" s="40">
        <v>11</v>
      </c>
      <c r="B17" s="33" t="s">
        <v>36</v>
      </c>
      <c r="C17" s="33" t="s">
        <v>37</v>
      </c>
      <c r="D17" s="33" t="s">
        <v>38</v>
      </c>
      <c r="E17" s="36"/>
      <c r="F17" s="35">
        <v>900</v>
      </c>
      <c r="G17" s="35">
        <v>9</v>
      </c>
      <c r="H17" s="35">
        <f t="shared" si="0"/>
        <v>0.81</v>
      </c>
      <c r="I17" s="35">
        <f t="shared" si="3"/>
        <v>0.81</v>
      </c>
      <c r="J17" s="35"/>
      <c r="K17" s="35"/>
      <c r="L17" s="35">
        <f t="shared" si="2"/>
        <v>0.81</v>
      </c>
      <c r="M17" s="45"/>
    </row>
    <row r="18" spans="1:13">
      <c r="A18" s="40">
        <v>12</v>
      </c>
      <c r="B18" s="33" t="s">
        <v>39</v>
      </c>
      <c r="C18" s="33" t="s">
        <v>40</v>
      </c>
      <c r="D18" s="33" t="s">
        <v>41</v>
      </c>
      <c r="E18" s="36"/>
      <c r="F18" s="35">
        <v>350</v>
      </c>
      <c r="G18" s="35">
        <v>7.1</v>
      </c>
      <c r="H18" s="35">
        <f t="shared" si="0"/>
        <v>0.2485</v>
      </c>
      <c r="I18" s="35">
        <f t="shared" si="3"/>
        <v>0.2485</v>
      </c>
      <c r="J18" s="35"/>
      <c r="K18" s="35"/>
      <c r="L18" s="35">
        <f t="shared" si="2"/>
        <v>0.2485</v>
      </c>
      <c r="M18" s="45"/>
    </row>
    <row r="19" s="29" customFormat="1" ht="19" spans="1:13">
      <c r="A19" s="40">
        <v>13</v>
      </c>
      <c r="B19" s="33" t="s">
        <v>42</v>
      </c>
      <c r="C19" s="33" t="s">
        <v>40</v>
      </c>
      <c r="D19" s="33" t="s">
        <v>35</v>
      </c>
      <c r="E19" s="36"/>
      <c r="F19" s="35">
        <v>400</v>
      </c>
      <c r="G19" s="35">
        <v>8.5</v>
      </c>
      <c r="H19" s="35">
        <f t="shared" si="0"/>
        <v>0.34</v>
      </c>
      <c r="I19" s="35">
        <f t="shared" si="3"/>
        <v>0.34</v>
      </c>
      <c r="J19" s="35"/>
      <c r="K19" s="35"/>
      <c r="L19" s="35">
        <f t="shared" si="2"/>
        <v>0.34</v>
      </c>
      <c r="M19" s="45"/>
    </row>
    <row r="20" spans="1:13">
      <c r="A20" s="37">
        <v>14</v>
      </c>
      <c r="B20" s="41" t="s">
        <v>43</v>
      </c>
      <c r="C20" s="41" t="s">
        <v>44</v>
      </c>
      <c r="D20" s="41" t="s">
        <v>35</v>
      </c>
      <c r="E20" s="36"/>
      <c r="F20" s="35">
        <v>100</v>
      </c>
      <c r="G20" s="35">
        <v>8</v>
      </c>
      <c r="H20" s="35">
        <f t="shared" si="0"/>
        <v>0.08</v>
      </c>
      <c r="I20" s="35">
        <f t="shared" si="3"/>
        <v>0.08</v>
      </c>
      <c r="J20" s="35"/>
      <c r="K20" s="35"/>
      <c r="L20" s="35">
        <f t="shared" si="2"/>
        <v>0.08</v>
      </c>
      <c r="M20" s="45"/>
    </row>
    <row r="21" spans="1:13">
      <c r="A21" s="39"/>
      <c r="B21" s="42"/>
      <c r="C21" s="42"/>
      <c r="D21" s="42"/>
      <c r="E21" s="36"/>
      <c r="F21" s="35">
        <v>50</v>
      </c>
      <c r="G21" s="35">
        <v>10</v>
      </c>
      <c r="H21" s="35">
        <f t="shared" si="0"/>
        <v>0.05</v>
      </c>
      <c r="I21" s="35">
        <f t="shared" si="3"/>
        <v>0.05</v>
      </c>
      <c r="J21" s="35"/>
      <c r="K21" s="35"/>
      <c r="L21" s="35">
        <f t="shared" si="2"/>
        <v>0.05</v>
      </c>
      <c r="M21" s="45"/>
    </row>
    <row r="22" spans="1:13">
      <c r="A22" s="40">
        <v>15</v>
      </c>
      <c r="B22" s="42" t="s">
        <v>45</v>
      </c>
      <c r="C22" s="42" t="s">
        <v>46</v>
      </c>
      <c r="D22" s="42" t="s">
        <v>47</v>
      </c>
      <c r="E22" s="36"/>
      <c r="F22" s="35">
        <v>720</v>
      </c>
      <c r="G22" s="35">
        <v>6</v>
      </c>
      <c r="H22" s="35">
        <f t="shared" si="0"/>
        <v>0.432</v>
      </c>
      <c r="I22" s="35">
        <f t="shared" si="3"/>
        <v>0.432</v>
      </c>
      <c r="J22" s="35"/>
      <c r="K22" s="35"/>
      <c r="L22" s="35">
        <f t="shared" si="2"/>
        <v>0.432</v>
      </c>
      <c r="M22" s="45"/>
    </row>
    <row r="23" spans="1:13">
      <c r="A23" s="40">
        <v>16</v>
      </c>
      <c r="B23" s="42" t="s">
        <v>48</v>
      </c>
      <c r="C23" s="42" t="s">
        <v>49</v>
      </c>
      <c r="D23" s="42" t="s">
        <v>50</v>
      </c>
      <c r="E23" s="36"/>
      <c r="F23" s="35">
        <v>400</v>
      </c>
      <c r="G23" s="35">
        <v>9</v>
      </c>
      <c r="H23" s="35">
        <f t="shared" si="0"/>
        <v>0.36</v>
      </c>
      <c r="I23" s="35">
        <f t="shared" si="3"/>
        <v>0.36</v>
      </c>
      <c r="J23" s="35"/>
      <c r="K23" s="35"/>
      <c r="L23" s="35">
        <f t="shared" si="2"/>
        <v>0.36</v>
      </c>
      <c r="M23" s="45"/>
    </row>
    <row r="24" spans="1:13">
      <c r="A24" s="40">
        <v>17</v>
      </c>
      <c r="B24" s="42" t="s">
        <v>51</v>
      </c>
      <c r="C24" s="42" t="s">
        <v>18</v>
      </c>
      <c r="D24" s="42" t="s">
        <v>45</v>
      </c>
      <c r="E24" s="36"/>
      <c r="F24" s="35">
        <v>500</v>
      </c>
      <c r="G24" s="35">
        <v>9</v>
      </c>
      <c r="H24" s="35">
        <f t="shared" si="0"/>
        <v>0.45</v>
      </c>
      <c r="I24" s="35">
        <f t="shared" si="3"/>
        <v>0.45</v>
      </c>
      <c r="J24" s="35"/>
      <c r="K24" s="35"/>
      <c r="L24" s="35">
        <f t="shared" si="2"/>
        <v>0.45</v>
      </c>
      <c r="M24" s="45"/>
    </row>
    <row r="25" spans="1:13">
      <c r="A25" s="40">
        <v>18</v>
      </c>
      <c r="B25" s="42" t="s">
        <v>52</v>
      </c>
      <c r="C25" s="42" t="s">
        <v>18</v>
      </c>
      <c r="D25" s="42" t="s">
        <v>51</v>
      </c>
      <c r="E25" s="36"/>
      <c r="F25" s="35">
        <v>500</v>
      </c>
      <c r="G25" s="35">
        <v>6</v>
      </c>
      <c r="H25" s="35">
        <f t="shared" si="0"/>
        <v>0.3</v>
      </c>
      <c r="I25" s="35">
        <f t="shared" si="3"/>
        <v>0.3</v>
      </c>
      <c r="J25" s="35"/>
      <c r="K25" s="35"/>
      <c r="L25" s="35">
        <f t="shared" si="2"/>
        <v>0.3</v>
      </c>
      <c r="M25" s="45"/>
    </row>
    <row r="26" spans="1:13">
      <c r="A26" s="40">
        <v>19</v>
      </c>
      <c r="B26" s="42" t="s">
        <v>53</v>
      </c>
      <c r="C26" s="42" t="s">
        <v>54</v>
      </c>
      <c r="D26" s="42" t="s">
        <v>45</v>
      </c>
      <c r="E26" s="36"/>
      <c r="F26" s="35">
        <v>260</v>
      </c>
      <c r="G26" s="35">
        <v>7</v>
      </c>
      <c r="H26" s="35">
        <f t="shared" si="0"/>
        <v>0.182</v>
      </c>
      <c r="I26" s="35">
        <f t="shared" si="3"/>
        <v>0.182</v>
      </c>
      <c r="J26" s="35"/>
      <c r="K26" s="35"/>
      <c r="L26" s="35">
        <f t="shared" si="2"/>
        <v>0.182</v>
      </c>
      <c r="M26" s="45"/>
    </row>
    <row r="27" spans="1:13">
      <c r="A27" s="40">
        <v>20</v>
      </c>
      <c r="B27" s="42" t="s">
        <v>55</v>
      </c>
      <c r="C27" s="42" t="s">
        <v>47</v>
      </c>
      <c r="D27" s="42" t="s">
        <v>51</v>
      </c>
      <c r="E27" s="36"/>
      <c r="F27" s="35">
        <v>260</v>
      </c>
      <c r="G27" s="35">
        <v>7</v>
      </c>
      <c r="H27" s="35">
        <f t="shared" si="0"/>
        <v>0.182</v>
      </c>
      <c r="I27" s="35">
        <f t="shared" si="3"/>
        <v>0.182</v>
      </c>
      <c r="J27" s="35"/>
      <c r="K27" s="35"/>
      <c r="L27" s="35">
        <f t="shared" si="2"/>
        <v>0.182</v>
      </c>
      <c r="M27" s="45"/>
    </row>
    <row r="28" spans="1:13">
      <c r="A28" s="40">
        <v>21</v>
      </c>
      <c r="B28" s="42" t="s">
        <v>56</v>
      </c>
      <c r="C28" s="42" t="s">
        <v>57</v>
      </c>
      <c r="D28" s="42" t="s">
        <v>46</v>
      </c>
      <c r="E28" s="36"/>
      <c r="F28" s="35">
        <v>260</v>
      </c>
      <c r="G28" s="35">
        <v>13</v>
      </c>
      <c r="H28" s="35">
        <f t="shared" si="0"/>
        <v>0.338</v>
      </c>
      <c r="I28" s="35">
        <f>260*9/10000</f>
        <v>0.234</v>
      </c>
      <c r="J28" s="35">
        <f>260*2*2/10000</f>
        <v>0.104</v>
      </c>
      <c r="K28" s="35"/>
      <c r="L28" s="35">
        <f t="shared" si="2"/>
        <v>0.338</v>
      </c>
      <c r="M28" s="45"/>
    </row>
    <row r="29" spans="1:13">
      <c r="A29" s="40">
        <v>22</v>
      </c>
      <c r="B29" s="42" t="s">
        <v>46</v>
      </c>
      <c r="C29" s="42" t="s">
        <v>18</v>
      </c>
      <c r="D29" s="42" t="s">
        <v>22</v>
      </c>
      <c r="E29" s="36"/>
      <c r="F29" s="35">
        <v>800</v>
      </c>
      <c r="G29" s="35">
        <v>14.3</v>
      </c>
      <c r="H29" s="35">
        <f t="shared" si="0"/>
        <v>1.144</v>
      </c>
      <c r="I29" s="35">
        <f>800*10.3/10000</f>
        <v>0.824</v>
      </c>
      <c r="J29" s="35">
        <f>800*2*2/10000</f>
        <v>0.32</v>
      </c>
      <c r="K29" s="35"/>
      <c r="L29" s="35">
        <f t="shared" si="2"/>
        <v>1.144</v>
      </c>
      <c r="M29" s="45"/>
    </row>
    <row r="30" spans="1:13">
      <c r="A30" s="40">
        <v>23</v>
      </c>
      <c r="B30" s="42" t="s">
        <v>58</v>
      </c>
      <c r="C30" s="42" t="s">
        <v>46</v>
      </c>
      <c r="D30" s="42" t="s">
        <v>59</v>
      </c>
      <c r="E30" s="36"/>
      <c r="F30" s="35">
        <v>500</v>
      </c>
      <c r="G30" s="35">
        <v>10</v>
      </c>
      <c r="H30" s="35">
        <f t="shared" si="0"/>
        <v>0.5</v>
      </c>
      <c r="I30" s="35">
        <f t="shared" ref="I30:I40" si="4">F30*G30/10000</f>
        <v>0.5</v>
      </c>
      <c r="J30" s="35"/>
      <c r="K30" s="35"/>
      <c r="L30" s="35">
        <f t="shared" si="2"/>
        <v>0.5</v>
      </c>
      <c r="M30" s="45"/>
    </row>
    <row r="31" spans="1:13">
      <c r="A31" s="40">
        <v>24</v>
      </c>
      <c r="B31" s="42" t="s">
        <v>60</v>
      </c>
      <c r="C31" s="42" t="s">
        <v>61</v>
      </c>
      <c r="D31" s="42" t="s">
        <v>62</v>
      </c>
      <c r="E31" s="36"/>
      <c r="F31" s="35">
        <v>800</v>
      </c>
      <c r="G31" s="35">
        <v>10</v>
      </c>
      <c r="H31" s="35">
        <f t="shared" si="0"/>
        <v>0.8</v>
      </c>
      <c r="I31" s="35">
        <f t="shared" si="4"/>
        <v>0.8</v>
      </c>
      <c r="J31" s="35"/>
      <c r="K31" s="35">
        <f>(200*3+50*5)/10000</f>
        <v>0.085</v>
      </c>
      <c r="L31" s="35">
        <f t="shared" si="2"/>
        <v>0.885</v>
      </c>
      <c r="M31" s="45"/>
    </row>
    <row r="32" ht="19" spans="1:13">
      <c r="A32" s="40">
        <v>25</v>
      </c>
      <c r="B32" s="42" t="s">
        <v>63</v>
      </c>
      <c r="C32" s="42" t="s">
        <v>64</v>
      </c>
      <c r="D32" s="42" t="s">
        <v>61</v>
      </c>
      <c r="E32" s="36"/>
      <c r="F32" s="35">
        <v>350</v>
      </c>
      <c r="G32" s="35">
        <v>4</v>
      </c>
      <c r="H32" s="35">
        <f t="shared" si="0"/>
        <v>0.14</v>
      </c>
      <c r="I32" s="35">
        <f t="shared" si="4"/>
        <v>0.14</v>
      </c>
      <c r="J32" s="35"/>
      <c r="K32" s="35"/>
      <c r="L32" s="35">
        <f t="shared" si="2"/>
        <v>0.14</v>
      </c>
      <c r="M32" s="45"/>
    </row>
    <row r="33" spans="1:13">
      <c r="A33" s="40">
        <v>26</v>
      </c>
      <c r="B33" s="42" t="s">
        <v>65</v>
      </c>
      <c r="C33" s="42" t="s">
        <v>18</v>
      </c>
      <c r="D33" s="42" t="s">
        <v>66</v>
      </c>
      <c r="E33" s="36"/>
      <c r="F33" s="35">
        <v>560</v>
      </c>
      <c r="G33" s="35">
        <v>5.5</v>
      </c>
      <c r="H33" s="35">
        <f t="shared" si="0"/>
        <v>0.308</v>
      </c>
      <c r="I33" s="35">
        <f t="shared" si="4"/>
        <v>0.308</v>
      </c>
      <c r="J33" s="35"/>
      <c r="K33" s="35"/>
      <c r="L33" s="35">
        <f t="shared" si="2"/>
        <v>0.308</v>
      </c>
      <c r="M33" s="45"/>
    </row>
    <row r="34" ht="19" spans="1:13">
      <c r="A34" s="40">
        <v>27</v>
      </c>
      <c r="B34" s="42" t="s">
        <v>67</v>
      </c>
      <c r="C34" s="42" t="s">
        <v>68</v>
      </c>
      <c r="D34" s="42" t="s">
        <v>69</v>
      </c>
      <c r="E34" s="36"/>
      <c r="F34" s="35">
        <v>980</v>
      </c>
      <c r="G34" s="35">
        <v>10</v>
      </c>
      <c r="H34" s="35">
        <f t="shared" si="0"/>
        <v>0.98</v>
      </c>
      <c r="I34" s="35">
        <f t="shared" si="4"/>
        <v>0.98</v>
      </c>
      <c r="J34" s="35"/>
      <c r="K34" s="35">
        <f>3.3*980/10000</f>
        <v>0.3234</v>
      </c>
      <c r="L34" s="35">
        <f t="shared" si="2"/>
        <v>1.3034</v>
      </c>
      <c r="M34" s="45"/>
    </row>
    <row r="35" spans="1:13">
      <c r="A35" s="40">
        <v>28</v>
      </c>
      <c r="B35" s="42" t="s">
        <v>70</v>
      </c>
      <c r="C35" s="42" t="s">
        <v>71</v>
      </c>
      <c r="D35" s="42" t="s">
        <v>49</v>
      </c>
      <c r="E35" s="36"/>
      <c r="F35" s="35">
        <v>600</v>
      </c>
      <c r="G35" s="35">
        <v>8</v>
      </c>
      <c r="H35" s="35">
        <f t="shared" si="0"/>
        <v>0.48</v>
      </c>
      <c r="I35" s="35">
        <f t="shared" si="4"/>
        <v>0.48</v>
      </c>
      <c r="J35" s="35"/>
      <c r="K35" s="35"/>
      <c r="L35" s="35">
        <f t="shared" si="2"/>
        <v>0.48</v>
      </c>
      <c r="M35" s="45"/>
    </row>
    <row r="36" spans="1:13">
      <c r="A36" s="40">
        <v>29</v>
      </c>
      <c r="B36" s="42" t="s">
        <v>72</v>
      </c>
      <c r="C36" s="42" t="s">
        <v>73</v>
      </c>
      <c r="D36" s="42" t="s">
        <v>49</v>
      </c>
      <c r="E36" s="36"/>
      <c r="F36" s="35">
        <v>150</v>
      </c>
      <c r="G36" s="35">
        <v>7.8</v>
      </c>
      <c r="H36" s="35">
        <f t="shared" si="0"/>
        <v>0.117</v>
      </c>
      <c r="I36" s="35">
        <f t="shared" si="4"/>
        <v>0.117</v>
      </c>
      <c r="J36" s="35"/>
      <c r="K36" s="35"/>
      <c r="L36" s="35">
        <f t="shared" si="2"/>
        <v>0.117</v>
      </c>
      <c r="M36" s="45"/>
    </row>
    <row r="37" ht="28.5" spans="1:13">
      <c r="A37" s="40">
        <v>30</v>
      </c>
      <c r="B37" s="42" t="s">
        <v>74</v>
      </c>
      <c r="C37" s="42" t="s">
        <v>71</v>
      </c>
      <c r="D37" s="42" t="s">
        <v>75</v>
      </c>
      <c r="E37" s="36"/>
      <c r="F37" s="35">
        <v>150</v>
      </c>
      <c r="G37" s="35">
        <v>5</v>
      </c>
      <c r="H37" s="35">
        <f t="shared" si="0"/>
        <v>0.075</v>
      </c>
      <c r="I37" s="35">
        <f t="shared" si="4"/>
        <v>0.075</v>
      </c>
      <c r="J37" s="35"/>
      <c r="K37" s="35"/>
      <c r="L37" s="35">
        <f t="shared" si="2"/>
        <v>0.075</v>
      </c>
      <c r="M37" s="45"/>
    </row>
    <row r="38" ht="28.5" spans="1:13">
      <c r="A38" s="40">
        <v>31</v>
      </c>
      <c r="B38" s="42" t="s">
        <v>76</v>
      </c>
      <c r="C38" s="42" t="s">
        <v>77</v>
      </c>
      <c r="D38" s="42" t="s">
        <v>78</v>
      </c>
      <c r="E38" s="36"/>
      <c r="F38" s="35">
        <v>500</v>
      </c>
      <c r="G38" s="35">
        <v>9.5</v>
      </c>
      <c r="H38" s="35">
        <f t="shared" si="0"/>
        <v>0.475</v>
      </c>
      <c r="I38" s="35">
        <f t="shared" si="4"/>
        <v>0.475</v>
      </c>
      <c r="J38" s="35"/>
      <c r="K38" s="35"/>
      <c r="L38" s="35">
        <f t="shared" si="2"/>
        <v>0.475</v>
      </c>
      <c r="M38" s="45"/>
    </row>
    <row r="39" spans="1:13">
      <c r="A39" s="40">
        <v>32</v>
      </c>
      <c r="B39" s="42" t="s">
        <v>79</v>
      </c>
      <c r="C39" s="42" t="s">
        <v>80</v>
      </c>
      <c r="D39" s="42" t="s">
        <v>40</v>
      </c>
      <c r="E39" s="36"/>
      <c r="F39" s="35">
        <v>300</v>
      </c>
      <c r="G39" s="35">
        <v>11</v>
      </c>
      <c r="H39" s="35">
        <f t="shared" si="0"/>
        <v>0.33</v>
      </c>
      <c r="I39" s="35">
        <f t="shared" si="4"/>
        <v>0.33</v>
      </c>
      <c r="J39" s="35"/>
      <c r="K39" s="35"/>
      <c r="L39" s="35">
        <f t="shared" si="2"/>
        <v>0.33</v>
      </c>
      <c r="M39" s="45"/>
    </row>
    <row r="40" ht="28.5" spans="1:13">
      <c r="A40" s="37">
        <v>33</v>
      </c>
      <c r="B40" s="43" t="s">
        <v>81</v>
      </c>
      <c r="C40" s="42" t="s">
        <v>82</v>
      </c>
      <c r="D40" s="42" t="s">
        <v>83</v>
      </c>
      <c r="E40" s="36"/>
      <c r="F40" s="35">
        <v>390</v>
      </c>
      <c r="G40" s="35">
        <v>10</v>
      </c>
      <c r="H40" s="35">
        <f t="shared" si="0"/>
        <v>0.39</v>
      </c>
      <c r="I40" s="35">
        <f t="shared" si="4"/>
        <v>0.39</v>
      </c>
      <c r="J40" s="35"/>
      <c r="K40" s="35"/>
      <c r="L40" s="35">
        <f t="shared" si="2"/>
        <v>0.39</v>
      </c>
      <c r="M40" s="45"/>
    </row>
    <row r="41" ht="19" spans="1:13">
      <c r="A41" s="39"/>
      <c r="B41" s="42"/>
      <c r="C41" s="42" t="s">
        <v>84</v>
      </c>
      <c r="D41" s="42" t="s">
        <v>85</v>
      </c>
      <c r="E41" s="36"/>
      <c r="F41" s="35">
        <v>400</v>
      </c>
      <c r="G41" s="35">
        <v>22.2</v>
      </c>
      <c r="H41" s="35">
        <f t="shared" si="0"/>
        <v>0.888</v>
      </c>
      <c r="I41" s="35">
        <f>400*16.2/10000</f>
        <v>0.648</v>
      </c>
      <c r="J41" s="35">
        <f>400*3*2/10000</f>
        <v>0.24</v>
      </c>
      <c r="K41" s="35"/>
      <c r="L41" s="35">
        <f t="shared" si="2"/>
        <v>0.888</v>
      </c>
      <c r="M41" s="45"/>
    </row>
    <row r="42" ht="19" spans="1:13">
      <c r="A42" s="40">
        <v>34</v>
      </c>
      <c r="B42" s="42" t="s">
        <v>86</v>
      </c>
      <c r="C42" s="42" t="s">
        <v>81</v>
      </c>
      <c r="D42" s="42" t="s">
        <v>87</v>
      </c>
      <c r="E42" s="36"/>
      <c r="F42" s="35">
        <v>200</v>
      </c>
      <c r="G42" s="35">
        <v>11.65</v>
      </c>
      <c r="H42" s="35">
        <f t="shared" si="0"/>
        <v>0.233</v>
      </c>
      <c r="I42" s="35">
        <f t="shared" ref="I42:I47" si="5">F42*G42/10000</f>
        <v>0.233</v>
      </c>
      <c r="J42" s="35"/>
      <c r="K42" s="35"/>
      <c r="L42" s="35">
        <f t="shared" si="2"/>
        <v>0.233</v>
      </c>
      <c r="M42" s="45"/>
    </row>
    <row r="43" spans="1:13">
      <c r="A43" s="40">
        <v>35</v>
      </c>
      <c r="B43" s="42" t="s">
        <v>88</v>
      </c>
      <c r="C43" s="42" t="s">
        <v>89</v>
      </c>
      <c r="D43" s="42" t="s">
        <v>90</v>
      </c>
      <c r="E43" s="36"/>
      <c r="F43" s="35">
        <v>350</v>
      </c>
      <c r="G43" s="35">
        <v>4</v>
      </c>
      <c r="H43" s="35">
        <f t="shared" si="0"/>
        <v>0.14</v>
      </c>
      <c r="I43" s="35">
        <f t="shared" si="5"/>
        <v>0.14</v>
      </c>
      <c r="J43" s="35"/>
      <c r="K43" s="35"/>
      <c r="L43" s="35">
        <f t="shared" si="2"/>
        <v>0.14</v>
      </c>
      <c r="M43" s="45"/>
    </row>
    <row r="44" spans="1:13">
      <c r="A44" s="37">
        <v>36</v>
      </c>
      <c r="B44" s="43" t="s">
        <v>91</v>
      </c>
      <c r="C44" s="42" t="s">
        <v>92</v>
      </c>
      <c r="D44" s="42" t="s">
        <v>93</v>
      </c>
      <c r="E44" s="36"/>
      <c r="F44" s="35">
        <v>200</v>
      </c>
      <c r="G44" s="35">
        <v>9</v>
      </c>
      <c r="H44" s="35">
        <f t="shared" si="0"/>
        <v>0.18</v>
      </c>
      <c r="I44" s="35">
        <f t="shared" si="5"/>
        <v>0.18</v>
      </c>
      <c r="J44" s="35"/>
      <c r="K44" s="35"/>
      <c r="L44" s="35">
        <f t="shared" si="2"/>
        <v>0.18</v>
      </c>
      <c r="M44" s="45"/>
    </row>
    <row r="45" spans="1:13">
      <c r="A45" s="39"/>
      <c r="B45" s="42"/>
      <c r="C45" s="42" t="s">
        <v>18</v>
      </c>
      <c r="D45" s="42" t="s">
        <v>93</v>
      </c>
      <c r="E45" s="36"/>
      <c r="F45" s="35">
        <v>350</v>
      </c>
      <c r="G45" s="35">
        <v>9</v>
      </c>
      <c r="H45" s="35">
        <f t="shared" si="0"/>
        <v>0.315</v>
      </c>
      <c r="I45" s="35">
        <f t="shared" si="5"/>
        <v>0.315</v>
      </c>
      <c r="J45" s="35"/>
      <c r="K45" s="35"/>
      <c r="L45" s="35">
        <f t="shared" si="2"/>
        <v>0.315</v>
      </c>
      <c r="M45" s="45"/>
    </row>
    <row r="46" ht="28.5" spans="1:13">
      <c r="A46" s="40">
        <v>37</v>
      </c>
      <c r="B46" s="42" t="s">
        <v>94</v>
      </c>
      <c r="C46" s="42" t="s">
        <v>95</v>
      </c>
      <c r="D46" s="42" t="s">
        <v>96</v>
      </c>
      <c r="E46" s="36"/>
      <c r="F46" s="35">
        <v>226</v>
      </c>
      <c r="G46" s="35">
        <v>11</v>
      </c>
      <c r="H46" s="35">
        <f t="shared" si="0"/>
        <v>0.2486</v>
      </c>
      <c r="I46" s="35">
        <f t="shared" si="5"/>
        <v>0.2486</v>
      </c>
      <c r="J46" s="35"/>
      <c r="K46" s="35"/>
      <c r="L46" s="35">
        <f t="shared" si="2"/>
        <v>0.2486</v>
      </c>
      <c r="M46" s="45"/>
    </row>
    <row r="47" ht="28.5" spans="1:13">
      <c r="A47" s="40">
        <v>38</v>
      </c>
      <c r="B47" s="42" t="s">
        <v>92</v>
      </c>
      <c r="C47" s="42" t="s">
        <v>97</v>
      </c>
      <c r="D47" s="42" t="s">
        <v>98</v>
      </c>
      <c r="E47" s="36"/>
      <c r="F47" s="35">
        <v>920</v>
      </c>
      <c r="G47" s="35">
        <v>8</v>
      </c>
      <c r="H47" s="35">
        <f t="shared" si="0"/>
        <v>0.736</v>
      </c>
      <c r="I47" s="35">
        <f t="shared" si="5"/>
        <v>0.736</v>
      </c>
      <c r="J47" s="35"/>
      <c r="K47" s="35"/>
      <c r="L47" s="35">
        <f t="shared" si="2"/>
        <v>0.736</v>
      </c>
      <c r="M47" s="45"/>
    </row>
    <row r="48" ht="19" spans="1:13">
      <c r="A48" s="40">
        <v>39</v>
      </c>
      <c r="B48" s="42" t="s">
        <v>99</v>
      </c>
      <c r="C48" s="42" t="s">
        <v>100</v>
      </c>
      <c r="D48" s="42" t="s">
        <v>93</v>
      </c>
      <c r="E48" s="36"/>
      <c r="F48" s="35">
        <v>200</v>
      </c>
      <c r="G48" s="35">
        <v>12</v>
      </c>
      <c r="H48" s="35">
        <f t="shared" si="0"/>
        <v>0.24</v>
      </c>
      <c r="I48" s="35">
        <f>200*8/10000</f>
        <v>0.16</v>
      </c>
      <c r="J48" s="35">
        <f>200*2*2/10000</f>
        <v>0.08</v>
      </c>
      <c r="K48" s="35"/>
      <c r="L48" s="35">
        <f t="shared" si="2"/>
        <v>0.24</v>
      </c>
      <c r="M48" s="45"/>
    </row>
    <row r="49" ht="28.5" spans="1:13">
      <c r="A49" s="40">
        <v>40</v>
      </c>
      <c r="B49" s="44" t="s">
        <v>101</v>
      </c>
      <c r="C49" s="42" t="s">
        <v>102</v>
      </c>
      <c r="D49" s="42" t="s">
        <v>103</v>
      </c>
      <c r="E49" s="36"/>
      <c r="F49" s="35">
        <v>748.5</v>
      </c>
      <c r="G49" s="35">
        <v>12</v>
      </c>
      <c r="H49" s="35">
        <f t="shared" si="0"/>
        <v>0.8982</v>
      </c>
      <c r="I49" s="35">
        <f>748.5*8/10000</f>
        <v>0.5988</v>
      </c>
      <c r="J49" s="35">
        <f>748.5*2*2/10000</f>
        <v>0.2994</v>
      </c>
      <c r="K49" s="35"/>
      <c r="L49" s="35">
        <f t="shared" si="2"/>
        <v>0.8982</v>
      </c>
      <c r="M49" s="45"/>
    </row>
    <row r="50" ht="28.5" spans="1:13">
      <c r="A50" s="40">
        <v>41</v>
      </c>
      <c r="B50" s="42" t="s">
        <v>104</v>
      </c>
      <c r="C50" s="42" t="s">
        <v>18</v>
      </c>
      <c r="D50" s="42" t="s">
        <v>105</v>
      </c>
      <c r="E50" s="36"/>
      <c r="F50" s="35">
        <v>500</v>
      </c>
      <c r="G50" s="35">
        <v>9</v>
      </c>
      <c r="H50" s="35">
        <f t="shared" si="0"/>
        <v>0.45</v>
      </c>
      <c r="I50" s="35">
        <f t="shared" ref="I50:I54" si="6">F50*G50/10000</f>
        <v>0.45</v>
      </c>
      <c r="J50" s="35"/>
      <c r="K50" s="35"/>
      <c r="L50" s="35">
        <f t="shared" si="2"/>
        <v>0.45</v>
      </c>
      <c r="M50" s="45"/>
    </row>
    <row r="51" spans="1:13">
      <c r="A51" s="40">
        <v>42</v>
      </c>
      <c r="B51" s="42" t="s">
        <v>106</v>
      </c>
      <c r="C51" s="42" t="s">
        <v>107</v>
      </c>
      <c r="D51" s="42" t="s">
        <v>18</v>
      </c>
      <c r="E51" s="36"/>
      <c r="F51" s="35">
        <v>771</v>
      </c>
      <c r="G51" s="35">
        <v>6.2</v>
      </c>
      <c r="H51" s="35">
        <f t="shared" si="0"/>
        <v>0.47802</v>
      </c>
      <c r="I51" s="35">
        <f t="shared" si="6"/>
        <v>0.47802</v>
      </c>
      <c r="J51" s="35"/>
      <c r="K51" s="35"/>
      <c r="L51" s="35">
        <f t="shared" si="2"/>
        <v>0.47802</v>
      </c>
      <c r="M51" s="45"/>
    </row>
    <row r="52" spans="1:13">
      <c r="A52" s="37">
        <v>43</v>
      </c>
      <c r="B52" s="43" t="s">
        <v>108</v>
      </c>
      <c r="C52" s="42" t="s">
        <v>101</v>
      </c>
      <c r="D52" s="42" t="s">
        <v>109</v>
      </c>
      <c r="E52" s="36"/>
      <c r="F52" s="35">
        <v>600</v>
      </c>
      <c r="G52" s="35">
        <v>7</v>
      </c>
      <c r="H52" s="35">
        <f t="shared" si="0"/>
        <v>0.42</v>
      </c>
      <c r="I52" s="35">
        <f t="shared" si="6"/>
        <v>0.42</v>
      </c>
      <c r="J52" s="35"/>
      <c r="K52" s="35"/>
      <c r="L52" s="35">
        <f t="shared" si="2"/>
        <v>0.42</v>
      </c>
      <c r="M52" s="45"/>
    </row>
    <row r="53" spans="1:13">
      <c r="A53" s="39"/>
      <c r="B53" s="42"/>
      <c r="C53" s="42" t="s">
        <v>93</v>
      </c>
      <c r="D53" s="42" t="s">
        <v>98</v>
      </c>
      <c r="E53" s="36"/>
      <c r="F53" s="35">
        <v>600</v>
      </c>
      <c r="G53" s="35">
        <v>7</v>
      </c>
      <c r="H53" s="35">
        <f t="shared" si="0"/>
        <v>0.42</v>
      </c>
      <c r="I53" s="35">
        <f t="shared" si="6"/>
        <v>0.42</v>
      </c>
      <c r="J53" s="35"/>
      <c r="K53" s="35"/>
      <c r="L53" s="35">
        <f t="shared" si="2"/>
        <v>0.42</v>
      </c>
      <c r="M53" s="45"/>
    </row>
    <row r="54" spans="1:13">
      <c r="A54" s="40">
        <v>44</v>
      </c>
      <c r="B54" s="42" t="s">
        <v>110</v>
      </c>
      <c r="C54" s="42" t="s">
        <v>18</v>
      </c>
      <c r="D54" s="42" t="s">
        <v>93</v>
      </c>
      <c r="E54" s="36"/>
      <c r="F54" s="35">
        <v>300</v>
      </c>
      <c r="G54" s="35">
        <v>15</v>
      </c>
      <c r="H54" s="35">
        <f t="shared" si="0"/>
        <v>0.45</v>
      </c>
      <c r="I54" s="35">
        <f t="shared" si="6"/>
        <v>0.45</v>
      </c>
      <c r="J54" s="35">
        <v>0</v>
      </c>
      <c r="K54" s="35">
        <v>0</v>
      </c>
      <c r="L54" s="35">
        <f t="shared" ref="L54:L56" si="7">H54+K54</f>
        <v>0.45</v>
      </c>
      <c r="M54" s="45"/>
    </row>
    <row r="55" ht="19" spans="1:13">
      <c r="A55" s="40">
        <v>45</v>
      </c>
      <c r="B55" s="42" t="s">
        <v>111</v>
      </c>
      <c r="C55" s="42" t="s">
        <v>112</v>
      </c>
      <c r="D55" s="42" t="s">
        <v>113</v>
      </c>
      <c r="E55" s="36"/>
      <c r="F55" s="35">
        <v>450</v>
      </c>
      <c r="G55" s="35">
        <v>20</v>
      </c>
      <c r="H55" s="35">
        <f t="shared" si="0"/>
        <v>0.9</v>
      </c>
      <c r="I55" s="35">
        <f>450*14/10000</f>
        <v>0.63</v>
      </c>
      <c r="J55" s="35">
        <f>450*3*2/10000</f>
        <v>0.27</v>
      </c>
      <c r="K55" s="35">
        <v>0</v>
      </c>
      <c r="L55" s="35">
        <f t="shared" si="7"/>
        <v>0.9</v>
      </c>
      <c r="M55" s="45">
        <f>450*6/10000</f>
        <v>0.27</v>
      </c>
    </row>
    <row r="56" ht="28.5" spans="1:13">
      <c r="A56" s="40">
        <v>46</v>
      </c>
      <c r="B56" s="42" t="s">
        <v>114</v>
      </c>
      <c r="C56" s="42" t="s">
        <v>22</v>
      </c>
      <c r="D56" s="42" t="s">
        <v>13</v>
      </c>
      <c r="E56" s="36"/>
      <c r="F56" s="35">
        <v>96</v>
      </c>
      <c r="G56" s="35">
        <v>8</v>
      </c>
      <c r="H56" s="35">
        <f t="shared" si="0"/>
        <v>0.0768</v>
      </c>
      <c r="I56" s="35">
        <f>H56</f>
        <v>0.0768</v>
      </c>
      <c r="J56" s="35">
        <v>0</v>
      </c>
      <c r="K56" s="35">
        <v>0</v>
      </c>
      <c r="L56" s="35">
        <f t="shared" si="7"/>
        <v>0.0768</v>
      </c>
      <c r="M56" s="45">
        <v>0</v>
      </c>
    </row>
    <row r="57" spans="1:13">
      <c r="A57" s="40">
        <v>47</v>
      </c>
      <c r="B57" s="42" t="s">
        <v>115</v>
      </c>
      <c r="C57" s="42" t="s">
        <v>116</v>
      </c>
      <c r="D57" s="42" t="s">
        <v>20</v>
      </c>
      <c r="E57" s="36"/>
      <c r="F57" s="35">
        <v>160</v>
      </c>
      <c r="G57" s="35">
        <v>13</v>
      </c>
      <c r="H57" s="35">
        <f t="shared" si="0"/>
        <v>0.208</v>
      </c>
      <c r="I57" s="35">
        <f>160*9/10000</f>
        <v>0.144</v>
      </c>
      <c r="J57" s="35">
        <f>160*2*2/10000</f>
        <v>0.064</v>
      </c>
      <c r="K57" s="35"/>
      <c r="L57" s="35">
        <f t="shared" ref="L57:L69" si="8">I57+J57+K57</f>
        <v>0.208</v>
      </c>
      <c r="M57" s="45"/>
    </row>
    <row r="58" spans="1:13">
      <c r="A58" s="37">
        <v>48</v>
      </c>
      <c r="B58" s="43" t="s">
        <v>117</v>
      </c>
      <c r="C58" s="43" t="s">
        <v>57</v>
      </c>
      <c r="D58" s="43" t="s">
        <v>118</v>
      </c>
      <c r="E58" s="36"/>
      <c r="F58" s="35">
        <v>210</v>
      </c>
      <c r="G58" s="35">
        <v>5.4</v>
      </c>
      <c r="H58" s="35">
        <f t="shared" si="0"/>
        <v>0.1134</v>
      </c>
      <c r="I58" s="35">
        <f t="shared" ref="I58:I69" si="9">F58*G58/10000</f>
        <v>0.1134</v>
      </c>
      <c r="J58" s="35"/>
      <c r="K58" s="35"/>
      <c r="L58" s="35">
        <f t="shared" si="8"/>
        <v>0.1134</v>
      </c>
      <c r="M58" s="45"/>
    </row>
    <row r="59" spans="1:13">
      <c r="A59" s="39"/>
      <c r="B59" s="42"/>
      <c r="C59" s="42"/>
      <c r="D59" s="42"/>
      <c r="E59" s="36"/>
      <c r="F59" s="35">
        <v>210</v>
      </c>
      <c r="G59" s="35">
        <v>4.6</v>
      </c>
      <c r="H59" s="35">
        <f t="shared" si="0"/>
        <v>0.0966</v>
      </c>
      <c r="I59" s="35">
        <f t="shared" si="9"/>
        <v>0.0966</v>
      </c>
      <c r="J59" s="35"/>
      <c r="K59" s="35"/>
      <c r="L59" s="35">
        <f t="shared" si="8"/>
        <v>0.0966</v>
      </c>
      <c r="M59" s="45"/>
    </row>
    <row r="60" ht="19" spans="1:13">
      <c r="A60" s="40">
        <v>49</v>
      </c>
      <c r="B60" s="42" t="s">
        <v>119</v>
      </c>
      <c r="C60" s="42" t="s">
        <v>30</v>
      </c>
      <c r="D60" s="42" t="s">
        <v>24</v>
      </c>
      <c r="E60" s="36"/>
      <c r="F60" s="35">
        <v>500</v>
      </c>
      <c r="G60" s="35">
        <v>3.6</v>
      </c>
      <c r="H60" s="35">
        <f t="shared" si="0"/>
        <v>0.18</v>
      </c>
      <c r="I60" s="35">
        <f t="shared" si="9"/>
        <v>0.18</v>
      </c>
      <c r="J60" s="35"/>
      <c r="K60" s="35"/>
      <c r="L60" s="35">
        <f t="shared" si="8"/>
        <v>0.18</v>
      </c>
      <c r="M60" s="45"/>
    </row>
    <row r="61" ht="19" spans="1:13">
      <c r="A61" s="40">
        <v>50</v>
      </c>
      <c r="B61" s="42" t="s">
        <v>120</v>
      </c>
      <c r="C61" s="42" t="s">
        <v>30</v>
      </c>
      <c r="D61" s="42" t="s">
        <v>121</v>
      </c>
      <c r="E61" s="36"/>
      <c r="F61" s="35">
        <v>150</v>
      </c>
      <c r="G61" s="35">
        <v>10</v>
      </c>
      <c r="H61" s="35">
        <f t="shared" si="0"/>
        <v>0.15</v>
      </c>
      <c r="I61" s="35">
        <f t="shared" si="9"/>
        <v>0.15</v>
      </c>
      <c r="J61" s="35"/>
      <c r="K61" s="35"/>
      <c r="L61" s="35">
        <f t="shared" si="8"/>
        <v>0.15</v>
      </c>
      <c r="M61" s="45"/>
    </row>
    <row r="62" ht="19" spans="1:13">
      <c r="A62" s="40">
        <v>51</v>
      </c>
      <c r="B62" s="42" t="s">
        <v>122</v>
      </c>
      <c r="C62" s="42" t="s">
        <v>123</v>
      </c>
      <c r="D62" s="42" t="s">
        <v>124</v>
      </c>
      <c r="E62" s="36"/>
      <c r="F62" s="35">
        <v>300</v>
      </c>
      <c r="G62" s="35">
        <v>12.3</v>
      </c>
      <c r="H62" s="35">
        <f t="shared" si="0"/>
        <v>0.369</v>
      </c>
      <c r="I62" s="35">
        <f t="shared" si="9"/>
        <v>0.369</v>
      </c>
      <c r="J62" s="35"/>
      <c r="K62" s="35"/>
      <c r="L62" s="35">
        <f t="shared" si="8"/>
        <v>0.369</v>
      </c>
      <c r="M62" s="45"/>
    </row>
    <row r="63" spans="1:13">
      <c r="A63" s="37">
        <v>52</v>
      </c>
      <c r="B63" s="43" t="s">
        <v>125</v>
      </c>
      <c r="C63" s="43" t="s">
        <v>126</v>
      </c>
      <c r="D63" s="43" t="s">
        <v>127</v>
      </c>
      <c r="E63" s="36"/>
      <c r="F63" s="35">
        <v>350</v>
      </c>
      <c r="G63" s="35">
        <v>8.2</v>
      </c>
      <c r="H63" s="35">
        <f t="shared" si="0"/>
        <v>0.287</v>
      </c>
      <c r="I63" s="35">
        <f t="shared" si="9"/>
        <v>0.287</v>
      </c>
      <c r="J63" s="35"/>
      <c r="K63" s="35">
        <f>20*30*5/10000</f>
        <v>0.3</v>
      </c>
      <c r="L63" s="35">
        <f t="shared" si="8"/>
        <v>0.587</v>
      </c>
      <c r="M63" s="45"/>
    </row>
    <row r="64" spans="1:13">
      <c r="A64" s="39"/>
      <c r="B64" s="42"/>
      <c r="C64" s="42"/>
      <c r="D64" s="42"/>
      <c r="E64" s="36"/>
      <c r="F64" s="35">
        <v>100</v>
      </c>
      <c r="G64" s="35">
        <v>15.1</v>
      </c>
      <c r="H64" s="35">
        <f t="shared" si="0"/>
        <v>0.151</v>
      </c>
      <c r="I64" s="35">
        <f t="shared" si="9"/>
        <v>0.151</v>
      </c>
      <c r="J64" s="35"/>
      <c r="K64" s="35"/>
      <c r="L64" s="35">
        <f t="shared" si="8"/>
        <v>0.151</v>
      </c>
      <c r="M64" s="45"/>
    </row>
    <row r="65" ht="28.5" spans="1:13">
      <c r="A65" s="40">
        <v>53</v>
      </c>
      <c r="B65" s="42" t="s">
        <v>128</v>
      </c>
      <c r="C65" s="42" t="s">
        <v>123</v>
      </c>
      <c r="D65" s="42" t="s">
        <v>129</v>
      </c>
      <c r="E65" s="36"/>
      <c r="F65" s="35">
        <v>200</v>
      </c>
      <c r="G65" s="35">
        <v>9</v>
      </c>
      <c r="H65" s="35">
        <f t="shared" si="0"/>
        <v>0.18</v>
      </c>
      <c r="I65" s="35">
        <f t="shared" si="9"/>
        <v>0.18</v>
      </c>
      <c r="J65" s="35"/>
      <c r="K65" s="35"/>
      <c r="L65" s="35">
        <f t="shared" si="8"/>
        <v>0.18</v>
      </c>
      <c r="M65" s="45"/>
    </row>
    <row r="66" ht="19" spans="1:13">
      <c r="A66" s="40">
        <v>54</v>
      </c>
      <c r="B66" s="42" t="s">
        <v>130</v>
      </c>
      <c r="C66" s="42" t="s">
        <v>131</v>
      </c>
      <c r="D66" s="42" t="s">
        <v>128</v>
      </c>
      <c r="E66" s="36"/>
      <c r="F66" s="35">
        <v>350</v>
      </c>
      <c r="G66" s="35">
        <v>9</v>
      </c>
      <c r="H66" s="35">
        <f t="shared" si="0"/>
        <v>0.315</v>
      </c>
      <c r="I66" s="35">
        <f t="shared" si="9"/>
        <v>0.315</v>
      </c>
      <c r="J66" s="35"/>
      <c r="K66" s="35">
        <f>300*2.5*2/10000</f>
        <v>0.15</v>
      </c>
      <c r="L66" s="35">
        <f t="shared" si="8"/>
        <v>0.465</v>
      </c>
      <c r="M66" s="45"/>
    </row>
    <row r="67" ht="19" spans="1:13">
      <c r="A67" s="40">
        <v>55</v>
      </c>
      <c r="B67" s="33" t="s">
        <v>132</v>
      </c>
      <c r="C67" s="33" t="s">
        <v>133</v>
      </c>
      <c r="D67" s="33" t="s">
        <v>134</v>
      </c>
      <c r="E67" s="36"/>
      <c r="F67" s="35">
        <v>600</v>
      </c>
      <c r="G67" s="35">
        <v>9</v>
      </c>
      <c r="H67" s="35">
        <f t="shared" ref="H67:H81" si="10">F67*G67/10000</f>
        <v>0.54</v>
      </c>
      <c r="I67" s="35">
        <f t="shared" si="9"/>
        <v>0.54</v>
      </c>
      <c r="J67" s="35"/>
      <c r="K67" s="35"/>
      <c r="L67" s="35">
        <f t="shared" si="8"/>
        <v>0.54</v>
      </c>
      <c r="M67" s="45"/>
    </row>
    <row r="68" ht="19" spans="1:13">
      <c r="A68" s="40">
        <v>56</v>
      </c>
      <c r="B68" s="33" t="s">
        <v>133</v>
      </c>
      <c r="C68" s="33" t="s">
        <v>135</v>
      </c>
      <c r="D68" s="33" t="s">
        <v>36</v>
      </c>
      <c r="E68" s="36"/>
      <c r="F68" s="35">
        <v>400</v>
      </c>
      <c r="G68" s="35">
        <v>9.5</v>
      </c>
      <c r="H68" s="35">
        <f t="shared" si="10"/>
        <v>0.38</v>
      </c>
      <c r="I68" s="35">
        <f t="shared" si="9"/>
        <v>0.38</v>
      </c>
      <c r="J68" s="35"/>
      <c r="K68" s="35"/>
      <c r="L68" s="35">
        <f t="shared" si="8"/>
        <v>0.38</v>
      </c>
      <c r="M68" s="45"/>
    </row>
    <row r="69" ht="28.5" spans="1:13">
      <c r="A69" s="37">
        <v>57</v>
      </c>
      <c r="B69" s="33" t="s">
        <v>136</v>
      </c>
      <c r="C69" s="33" t="s">
        <v>137</v>
      </c>
      <c r="D69" s="33" t="s">
        <v>138</v>
      </c>
      <c r="E69" s="36"/>
      <c r="F69" s="35">
        <v>500</v>
      </c>
      <c r="G69" s="35">
        <v>11</v>
      </c>
      <c r="H69" s="35">
        <f t="shared" si="10"/>
        <v>0.55</v>
      </c>
      <c r="I69" s="35">
        <f t="shared" si="9"/>
        <v>0.55</v>
      </c>
      <c r="J69" s="35"/>
      <c r="K69" s="35">
        <f>150*3/10000</f>
        <v>0.045</v>
      </c>
      <c r="L69" s="35">
        <f t="shared" si="8"/>
        <v>0.595</v>
      </c>
      <c r="M69" s="45"/>
    </row>
    <row r="70" spans="1:13">
      <c r="A70" s="38"/>
      <c r="B70" s="33"/>
      <c r="C70" s="46" t="s">
        <v>139</v>
      </c>
      <c r="D70" s="46" t="s">
        <v>140</v>
      </c>
      <c r="E70" s="36"/>
      <c r="F70" s="35">
        <v>380</v>
      </c>
      <c r="G70" s="35">
        <v>15</v>
      </c>
      <c r="H70" s="35">
        <f t="shared" si="10"/>
        <v>0.57</v>
      </c>
      <c r="I70" s="35">
        <f>380*7/10000</f>
        <v>0.266</v>
      </c>
      <c r="J70" s="35">
        <f>380*8/10000</f>
        <v>0.304</v>
      </c>
      <c r="K70" s="35">
        <v>0</v>
      </c>
      <c r="L70" s="35">
        <f>H70+K70</f>
        <v>0.57</v>
      </c>
      <c r="M70" s="45"/>
    </row>
    <row r="71" ht="19" spans="1:13">
      <c r="A71" s="39"/>
      <c r="B71" s="33"/>
      <c r="C71" s="33" t="s">
        <v>141</v>
      </c>
      <c r="D71" s="33" t="s">
        <v>142</v>
      </c>
      <c r="E71" s="36"/>
      <c r="F71" s="35">
        <v>400</v>
      </c>
      <c r="G71" s="35">
        <v>10</v>
      </c>
      <c r="H71" s="35">
        <f t="shared" si="10"/>
        <v>0.4</v>
      </c>
      <c r="I71" s="35">
        <f t="shared" ref="I71:I79" si="11">F71*G71/10000</f>
        <v>0.4</v>
      </c>
      <c r="J71" s="35"/>
      <c r="K71" s="35">
        <f>(30*50+400*2.5)/10000</f>
        <v>0.25</v>
      </c>
      <c r="L71" s="35">
        <f t="shared" ref="L71:L79" si="12">I71+J71+K71</f>
        <v>0.65</v>
      </c>
      <c r="M71" s="45"/>
    </row>
    <row r="72" spans="1:13">
      <c r="A72" s="40">
        <v>58</v>
      </c>
      <c r="B72" s="47" t="s">
        <v>33</v>
      </c>
      <c r="C72" s="47" t="s">
        <v>18</v>
      </c>
      <c r="D72" s="47" t="s">
        <v>73</v>
      </c>
      <c r="E72" s="36"/>
      <c r="F72" s="48">
        <v>319.71</v>
      </c>
      <c r="G72" s="48">
        <v>7.56</v>
      </c>
      <c r="H72" s="49">
        <f t="shared" si="10"/>
        <v>0.24170076</v>
      </c>
      <c r="I72" s="49">
        <f>F72*7.2/10000</f>
        <v>0.2301912</v>
      </c>
      <c r="J72" s="49">
        <f>F72*0.42/10000</f>
        <v>0.01342782</v>
      </c>
      <c r="K72" s="49">
        <f>60*30/10000</f>
        <v>0.18</v>
      </c>
      <c r="L72" s="49">
        <f>SUM(I72:K72)</f>
        <v>0.42361902</v>
      </c>
      <c r="M72" s="49">
        <v>0</v>
      </c>
    </row>
    <row r="73" spans="1:13">
      <c r="A73" s="40">
        <v>59</v>
      </c>
      <c r="B73" s="33" t="s">
        <v>143</v>
      </c>
      <c r="C73" s="33" t="s">
        <v>22</v>
      </c>
      <c r="D73" s="33" t="s">
        <v>125</v>
      </c>
      <c r="E73" s="36"/>
      <c r="F73" s="35">
        <v>500</v>
      </c>
      <c r="G73" s="35">
        <v>8</v>
      </c>
      <c r="H73" s="35">
        <f t="shared" si="10"/>
        <v>0.4</v>
      </c>
      <c r="I73" s="35">
        <f t="shared" si="11"/>
        <v>0.4</v>
      </c>
      <c r="J73" s="35"/>
      <c r="K73" s="35"/>
      <c r="L73" s="35">
        <f t="shared" si="12"/>
        <v>0.4</v>
      </c>
      <c r="M73" s="35"/>
    </row>
    <row r="74" spans="1:13">
      <c r="A74" s="37">
        <v>60</v>
      </c>
      <c r="B74" s="33" t="s">
        <v>144</v>
      </c>
      <c r="C74" s="33" t="s">
        <v>145</v>
      </c>
      <c r="D74" s="33" t="s">
        <v>146</v>
      </c>
      <c r="E74" s="36"/>
      <c r="F74" s="35">
        <v>100</v>
      </c>
      <c r="G74" s="35">
        <v>15</v>
      </c>
      <c r="H74" s="35">
        <f t="shared" si="10"/>
        <v>0.15</v>
      </c>
      <c r="I74" s="35">
        <f t="shared" si="11"/>
        <v>0.15</v>
      </c>
      <c r="J74" s="35"/>
      <c r="K74" s="35"/>
      <c r="L74" s="35">
        <f t="shared" si="12"/>
        <v>0.15</v>
      </c>
      <c r="M74" s="35"/>
    </row>
    <row r="75" spans="1:13">
      <c r="A75" s="39"/>
      <c r="B75" s="33"/>
      <c r="C75" s="33"/>
      <c r="D75" s="33"/>
      <c r="E75" s="36"/>
      <c r="F75" s="35">
        <v>100</v>
      </c>
      <c r="G75" s="35">
        <v>8</v>
      </c>
      <c r="H75" s="35">
        <f t="shared" si="10"/>
        <v>0.08</v>
      </c>
      <c r="I75" s="35">
        <f t="shared" si="11"/>
        <v>0.08</v>
      </c>
      <c r="J75" s="35"/>
      <c r="K75" s="35"/>
      <c r="L75" s="35">
        <f t="shared" si="12"/>
        <v>0.08</v>
      </c>
      <c r="M75" s="35"/>
    </row>
    <row r="76" spans="1:13">
      <c r="A76" s="40">
        <v>61</v>
      </c>
      <c r="B76" s="33" t="s">
        <v>147</v>
      </c>
      <c r="C76" s="33" t="s">
        <v>145</v>
      </c>
      <c r="D76" s="33" t="s">
        <v>125</v>
      </c>
      <c r="E76" s="36"/>
      <c r="F76" s="35">
        <v>150</v>
      </c>
      <c r="G76" s="35">
        <v>8.2</v>
      </c>
      <c r="H76" s="35">
        <f t="shared" si="10"/>
        <v>0.123</v>
      </c>
      <c r="I76" s="35">
        <f t="shared" si="11"/>
        <v>0.123</v>
      </c>
      <c r="J76" s="35"/>
      <c r="K76" s="35"/>
      <c r="L76" s="35">
        <f t="shared" si="12"/>
        <v>0.123</v>
      </c>
      <c r="M76" s="35"/>
    </row>
    <row r="77" spans="1:13">
      <c r="A77" s="37">
        <v>62</v>
      </c>
      <c r="B77" s="33" t="s">
        <v>146</v>
      </c>
      <c r="C77" s="33" t="s">
        <v>126</v>
      </c>
      <c r="D77" s="33" t="s">
        <v>125</v>
      </c>
      <c r="E77" s="36"/>
      <c r="F77" s="35">
        <v>100</v>
      </c>
      <c r="G77" s="35">
        <v>8.2</v>
      </c>
      <c r="H77" s="35">
        <f t="shared" si="10"/>
        <v>0.082</v>
      </c>
      <c r="I77" s="35">
        <f t="shared" si="11"/>
        <v>0.082</v>
      </c>
      <c r="J77" s="35"/>
      <c r="K77" s="35"/>
      <c r="L77" s="35">
        <f t="shared" si="12"/>
        <v>0.082</v>
      </c>
      <c r="M77" s="35"/>
    </row>
    <row r="78" spans="1:13">
      <c r="A78" s="39"/>
      <c r="B78" s="33"/>
      <c r="C78" s="33"/>
      <c r="D78" s="33"/>
      <c r="E78" s="36"/>
      <c r="F78" s="35">
        <v>100</v>
      </c>
      <c r="G78" s="35">
        <v>15</v>
      </c>
      <c r="H78" s="35">
        <f t="shared" si="10"/>
        <v>0.15</v>
      </c>
      <c r="I78" s="35">
        <f t="shared" si="11"/>
        <v>0.15</v>
      </c>
      <c r="J78" s="35"/>
      <c r="K78" s="35"/>
      <c r="L78" s="35">
        <f t="shared" si="12"/>
        <v>0.15</v>
      </c>
      <c r="M78" s="35"/>
    </row>
    <row r="79" spans="1:13">
      <c r="A79" s="40">
        <v>63</v>
      </c>
      <c r="B79" s="33" t="s">
        <v>148</v>
      </c>
      <c r="C79" s="33" t="s">
        <v>22</v>
      </c>
      <c r="D79" s="33" t="s">
        <v>145</v>
      </c>
      <c r="E79" s="36"/>
      <c r="F79" s="35">
        <v>200</v>
      </c>
      <c r="G79" s="35">
        <v>8</v>
      </c>
      <c r="H79" s="35">
        <f t="shared" si="10"/>
        <v>0.16</v>
      </c>
      <c r="I79" s="35">
        <f t="shared" si="11"/>
        <v>0.16</v>
      </c>
      <c r="J79" s="35"/>
      <c r="K79" s="35">
        <f>100*10/10000</f>
        <v>0.1</v>
      </c>
      <c r="L79" s="35">
        <f t="shared" si="12"/>
        <v>0.26</v>
      </c>
      <c r="M79" s="35"/>
    </row>
    <row r="80" ht="19" spans="1:13">
      <c r="A80" s="40">
        <v>64</v>
      </c>
      <c r="B80" s="33" t="s">
        <v>149</v>
      </c>
      <c r="C80" s="33" t="s">
        <v>150</v>
      </c>
      <c r="D80" s="33" t="s">
        <v>35</v>
      </c>
      <c r="E80" s="36"/>
      <c r="F80" s="35">
        <v>300</v>
      </c>
      <c r="G80" s="35">
        <v>15</v>
      </c>
      <c r="H80" s="35">
        <f t="shared" si="10"/>
        <v>0.45</v>
      </c>
      <c r="I80" s="35">
        <f>300*9/10000</f>
        <v>0.27</v>
      </c>
      <c r="J80" s="35">
        <f>300*6/10000</f>
        <v>0.18</v>
      </c>
      <c r="K80" s="35">
        <v>0</v>
      </c>
      <c r="L80" s="35">
        <f>H80+K80</f>
        <v>0.45</v>
      </c>
      <c r="M80" s="35">
        <v>0</v>
      </c>
    </row>
    <row r="81" spans="1:13">
      <c r="A81" s="40">
        <v>65</v>
      </c>
      <c r="B81" s="33" t="s">
        <v>151</v>
      </c>
      <c r="C81" s="33" t="s">
        <v>122</v>
      </c>
      <c r="D81" s="33" t="s">
        <v>152</v>
      </c>
      <c r="E81" s="36"/>
      <c r="F81" s="35">
        <v>200</v>
      </c>
      <c r="G81" s="35">
        <v>6</v>
      </c>
      <c r="H81" s="35">
        <f t="shared" si="10"/>
        <v>0.12</v>
      </c>
      <c r="I81" s="35">
        <f>F81*G81/10000</f>
        <v>0.12</v>
      </c>
      <c r="J81" s="35">
        <v>0</v>
      </c>
      <c r="K81" s="35">
        <v>0</v>
      </c>
      <c r="L81" s="35">
        <f>H81+K81</f>
        <v>0.12</v>
      </c>
      <c r="M81" s="35"/>
    </row>
    <row r="82" ht="19" spans="1:13">
      <c r="A82" s="40">
        <v>66</v>
      </c>
      <c r="B82" s="33" t="s">
        <v>153</v>
      </c>
      <c r="C82" s="33" t="s">
        <v>130</v>
      </c>
      <c r="D82" s="33" t="s">
        <v>154</v>
      </c>
      <c r="E82" s="36"/>
      <c r="F82" s="35">
        <v>500</v>
      </c>
      <c r="G82" s="35">
        <v>17</v>
      </c>
      <c r="H82" s="35">
        <v>0.85</v>
      </c>
      <c r="I82" s="35">
        <v>0.55</v>
      </c>
      <c r="J82" s="35">
        <v>0.3</v>
      </c>
      <c r="K82" s="35">
        <v>0.4316</v>
      </c>
      <c r="L82" s="35">
        <v>1.2816</v>
      </c>
      <c r="M82" s="35">
        <v>0</v>
      </c>
    </row>
    <row r="83" ht="19" spans="1:13">
      <c r="A83" s="37">
        <v>67</v>
      </c>
      <c r="B83" s="41" t="s">
        <v>155</v>
      </c>
      <c r="C83" s="33" t="s">
        <v>93</v>
      </c>
      <c r="D83" s="33" t="s">
        <v>154</v>
      </c>
      <c r="E83" s="36"/>
      <c r="F83" s="35">
        <v>140</v>
      </c>
      <c r="G83" s="35">
        <v>20</v>
      </c>
      <c r="H83" s="35">
        <v>0.28</v>
      </c>
      <c r="I83" s="35">
        <v>0.21</v>
      </c>
      <c r="J83" s="35">
        <v>0.07</v>
      </c>
      <c r="K83" s="35">
        <v>0</v>
      </c>
      <c r="L83" s="35">
        <v>0.28</v>
      </c>
      <c r="M83" s="35">
        <v>0</v>
      </c>
    </row>
    <row r="84" spans="1:13">
      <c r="A84" s="39"/>
      <c r="B84" s="42"/>
      <c r="C84" s="33" t="s">
        <v>155</v>
      </c>
      <c r="D84" s="33" t="s">
        <v>156</v>
      </c>
      <c r="E84" s="50"/>
      <c r="F84" s="35">
        <v>55</v>
      </c>
      <c r="G84" s="35">
        <v>6</v>
      </c>
      <c r="H84" s="35">
        <v>0.033</v>
      </c>
      <c r="I84" s="35">
        <v>0.033</v>
      </c>
      <c r="J84" s="35">
        <v>0</v>
      </c>
      <c r="K84" s="35">
        <v>0</v>
      </c>
      <c r="L84" s="35">
        <v>0.033</v>
      </c>
      <c r="M84" s="35">
        <v>0</v>
      </c>
    </row>
    <row r="85" spans="1:13">
      <c r="A85" s="51" t="s">
        <v>157</v>
      </c>
      <c r="B85" s="52"/>
      <c r="C85" s="53">
        <f>A83</f>
        <v>67</v>
      </c>
      <c r="D85" s="53"/>
      <c r="E85" s="53"/>
      <c r="F85" s="54">
        <f>SUM(F2:F84)</f>
        <v>29214.21</v>
      </c>
      <c r="G85" s="54"/>
      <c r="H85" s="54">
        <f t="shared" ref="H85:M85" si="13">SUM(H2:H84)</f>
        <v>28.93657076</v>
      </c>
      <c r="I85" s="54">
        <f t="shared" si="13"/>
        <v>26.0136612</v>
      </c>
      <c r="J85" s="54">
        <f t="shared" si="13"/>
        <v>2.92482782</v>
      </c>
      <c r="K85" s="54">
        <f t="shared" si="13"/>
        <v>1.865</v>
      </c>
      <c r="L85" s="54">
        <f t="shared" si="13"/>
        <v>30.80348902</v>
      </c>
      <c r="M85" s="54">
        <f t="shared" si="13"/>
        <v>0.27</v>
      </c>
    </row>
    <row r="86" spans="1:13">
      <c r="A86" s="40">
        <v>68</v>
      </c>
      <c r="B86" s="55" t="s">
        <v>158</v>
      </c>
      <c r="C86" s="55" t="s">
        <v>159</v>
      </c>
      <c r="D86" s="55" t="s">
        <v>158</v>
      </c>
      <c r="E86" s="56" t="s">
        <v>160</v>
      </c>
      <c r="F86" s="57">
        <v>300</v>
      </c>
      <c r="G86" s="57">
        <v>10.2</v>
      </c>
      <c r="H86" s="57">
        <f t="shared" ref="H86:H106" si="14">F86*G86/10000</f>
        <v>0.306</v>
      </c>
      <c r="I86" s="57">
        <f t="shared" ref="I86:I100" si="15">F86*G86/10000</f>
        <v>0.306</v>
      </c>
      <c r="J86" s="57"/>
      <c r="K86" s="57"/>
      <c r="L86" s="57">
        <f t="shared" ref="L86:L100" si="16">I86+J86+K86</f>
        <v>0.306</v>
      </c>
      <c r="M86" s="57"/>
    </row>
    <row r="87" ht="39" spans="1:13">
      <c r="A87" s="40">
        <v>69</v>
      </c>
      <c r="B87" s="55" t="s">
        <v>161</v>
      </c>
      <c r="C87" s="55" t="s">
        <v>24</v>
      </c>
      <c r="D87" s="55" t="s">
        <v>30</v>
      </c>
      <c r="E87" s="58"/>
      <c r="F87" s="57">
        <v>250</v>
      </c>
      <c r="G87" s="57">
        <v>6.5</v>
      </c>
      <c r="H87" s="57">
        <f t="shared" si="14"/>
        <v>0.1625</v>
      </c>
      <c r="I87" s="57">
        <f t="shared" si="15"/>
        <v>0.1625</v>
      </c>
      <c r="J87" s="57"/>
      <c r="K87" s="57"/>
      <c r="L87" s="57">
        <f t="shared" si="16"/>
        <v>0.1625</v>
      </c>
      <c r="M87" s="57"/>
    </row>
    <row r="88" spans="1:13">
      <c r="A88" s="40">
        <v>70</v>
      </c>
      <c r="B88" s="55" t="s">
        <v>162</v>
      </c>
      <c r="C88" s="55" t="s">
        <v>37</v>
      </c>
      <c r="D88" s="55" t="s">
        <v>41</v>
      </c>
      <c r="E88" s="58"/>
      <c r="F88" s="57">
        <v>350</v>
      </c>
      <c r="G88" s="57">
        <v>6</v>
      </c>
      <c r="H88" s="57">
        <f t="shared" si="14"/>
        <v>0.21</v>
      </c>
      <c r="I88" s="57">
        <f t="shared" si="15"/>
        <v>0.21</v>
      </c>
      <c r="J88" s="57"/>
      <c r="K88" s="57"/>
      <c r="L88" s="57">
        <f t="shared" si="16"/>
        <v>0.21</v>
      </c>
      <c r="M88" s="57"/>
    </row>
    <row r="89" ht="26" spans="1:13">
      <c r="A89" s="40">
        <v>71</v>
      </c>
      <c r="B89" s="55" t="s">
        <v>163</v>
      </c>
      <c r="C89" s="55" t="s">
        <v>39</v>
      </c>
      <c r="D89" s="55" t="s">
        <v>133</v>
      </c>
      <c r="E89" s="58"/>
      <c r="F89" s="57">
        <v>150</v>
      </c>
      <c r="G89" s="57">
        <v>7</v>
      </c>
      <c r="H89" s="57">
        <f t="shared" si="14"/>
        <v>0.105</v>
      </c>
      <c r="I89" s="57">
        <f t="shared" si="15"/>
        <v>0.105</v>
      </c>
      <c r="J89" s="57"/>
      <c r="K89" s="57"/>
      <c r="L89" s="57">
        <f t="shared" si="16"/>
        <v>0.105</v>
      </c>
      <c r="M89" s="57"/>
    </row>
    <row r="90" spans="1:13">
      <c r="A90" s="37">
        <v>72</v>
      </c>
      <c r="B90" s="59" t="s">
        <v>20</v>
      </c>
      <c r="C90" s="55" t="s">
        <v>45</v>
      </c>
      <c r="D90" s="55" t="s">
        <v>57</v>
      </c>
      <c r="E90" s="58"/>
      <c r="F90" s="57">
        <v>130</v>
      </c>
      <c r="G90" s="57">
        <v>5</v>
      </c>
      <c r="H90" s="57">
        <f t="shared" si="14"/>
        <v>0.065</v>
      </c>
      <c r="I90" s="57">
        <f t="shared" si="15"/>
        <v>0.065</v>
      </c>
      <c r="J90" s="57"/>
      <c r="K90" s="57"/>
      <c r="L90" s="57">
        <f t="shared" si="16"/>
        <v>0.065</v>
      </c>
      <c r="M90" s="57"/>
    </row>
    <row r="91" ht="26" spans="1:13">
      <c r="A91" s="39"/>
      <c r="B91" s="60"/>
      <c r="C91" s="55" t="s">
        <v>22</v>
      </c>
      <c r="D91" s="55" t="s">
        <v>164</v>
      </c>
      <c r="E91" s="58"/>
      <c r="F91" s="57">
        <v>70</v>
      </c>
      <c r="G91" s="57">
        <v>15</v>
      </c>
      <c r="H91" s="57">
        <f t="shared" si="14"/>
        <v>0.105</v>
      </c>
      <c r="I91" s="57">
        <f t="shared" si="15"/>
        <v>0.105</v>
      </c>
      <c r="J91" s="57"/>
      <c r="K91" s="57"/>
      <c r="L91" s="57">
        <f t="shared" si="16"/>
        <v>0.105</v>
      </c>
      <c r="M91" s="57"/>
    </row>
    <row r="92" ht="39" spans="1:13">
      <c r="A92" s="40">
        <v>73</v>
      </c>
      <c r="B92" s="55" t="s">
        <v>165</v>
      </c>
      <c r="C92" s="55" t="s">
        <v>166</v>
      </c>
      <c r="D92" s="55" t="s">
        <v>167</v>
      </c>
      <c r="E92" s="58"/>
      <c r="F92" s="57">
        <v>80</v>
      </c>
      <c r="G92" s="57">
        <v>8</v>
      </c>
      <c r="H92" s="57">
        <f t="shared" si="14"/>
        <v>0.064</v>
      </c>
      <c r="I92" s="57">
        <f t="shared" si="15"/>
        <v>0.064</v>
      </c>
      <c r="J92" s="57"/>
      <c r="K92" s="57"/>
      <c r="L92" s="57">
        <f t="shared" si="16"/>
        <v>0.064</v>
      </c>
      <c r="M92" s="57"/>
    </row>
    <row r="93" spans="1:13">
      <c r="A93" s="40">
        <v>74</v>
      </c>
      <c r="B93" s="55" t="s">
        <v>168</v>
      </c>
      <c r="C93" s="55" t="s">
        <v>57</v>
      </c>
      <c r="D93" s="55" t="s">
        <v>51</v>
      </c>
      <c r="E93" s="58"/>
      <c r="F93" s="57">
        <v>350</v>
      </c>
      <c r="G93" s="57">
        <v>9</v>
      </c>
      <c r="H93" s="57">
        <f t="shared" si="14"/>
        <v>0.315</v>
      </c>
      <c r="I93" s="57">
        <f t="shared" si="15"/>
        <v>0.315</v>
      </c>
      <c r="J93" s="57"/>
      <c r="K93" s="57"/>
      <c r="L93" s="57">
        <f t="shared" si="16"/>
        <v>0.315</v>
      </c>
      <c r="M93" s="57"/>
    </row>
    <row r="94" ht="26" spans="1:13">
      <c r="A94" s="40">
        <v>75</v>
      </c>
      <c r="B94" s="55" t="s">
        <v>169</v>
      </c>
      <c r="C94" s="55" t="s">
        <v>51</v>
      </c>
      <c r="D94" s="55" t="s">
        <v>52</v>
      </c>
      <c r="E94" s="58"/>
      <c r="F94" s="57">
        <v>140</v>
      </c>
      <c r="G94" s="57">
        <v>7</v>
      </c>
      <c r="H94" s="57">
        <f t="shared" si="14"/>
        <v>0.098</v>
      </c>
      <c r="I94" s="57">
        <f t="shared" si="15"/>
        <v>0.098</v>
      </c>
      <c r="J94" s="57"/>
      <c r="K94" s="57"/>
      <c r="L94" s="57">
        <f t="shared" si="16"/>
        <v>0.098</v>
      </c>
      <c r="M94" s="57"/>
    </row>
    <row r="95" ht="26" spans="1:13">
      <c r="A95" s="40">
        <v>76</v>
      </c>
      <c r="B95" s="55" t="s">
        <v>170</v>
      </c>
      <c r="C95" s="55" t="s">
        <v>171</v>
      </c>
      <c r="D95" s="55" t="s">
        <v>61</v>
      </c>
      <c r="E95" s="58"/>
      <c r="F95" s="57">
        <v>300</v>
      </c>
      <c r="G95" s="57">
        <v>2.6</v>
      </c>
      <c r="H95" s="57">
        <f t="shared" si="14"/>
        <v>0.078</v>
      </c>
      <c r="I95" s="57">
        <f t="shared" si="15"/>
        <v>0.078</v>
      </c>
      <c r="J95" s="57"/>
      <c r="K95" s="57"/>
      <c r="L95" s="57">
        <f t="shared" si="16"/>
        <v>0.078</v>
      </c>
      <c r="M95" s="57"/>
    </row>
    <row r="96" ht="39" spans="1:13">
      <c r="A96" s="40">
        <v>77</v>
      </c>
      <c r="B96" s="55" t="s">
        <v>172</v>
      </c>
      <c r="C96" s="55" t="s">
        <v>173</v>
      </c>
      <c r="D96" s="55" t="s">
        <v>18</v>
      </c>
      <c r="E96" s="58"/>
      <c r="F96" s="57">
        <v>325</v>
      </c>
      <c r="G96" s="57">
        <v>4.8</v>
      </c>
      <c r="H96" s="57">
        <f t="shared" si="14"/>
        <v>0.156</v>
      </c>
      <c r="I96" s="57">
        <f t="shared" si="15"/>
        <v>0.156</v>
      </c>
      <c r="J96" s="57"/>
      <c r="K96" s="57"/>
      <c r="L96" s="57">
        <f t="shared" si="16"/>
        <v>0.156</v>
      </c>
      <c r="M96" s="57"/>
    </row>
    <row r="97" ht="39" spans="1:13">
      <c r="A97" s="40">
        <v>78</v>
      </c>
      <c r="B97" s="55" t="s">
        <v>174</v>
      </c>
      <c r="C97" s="55" t="s">
        <v>139</v>
      </c>
      <c r="D97" s="55" t="s">
        <v>175</v>
      </c>
      <c r="E97" s="58"/>
      <c r="F97" s="57">
        <v>200</v>
      </c>
      <c r="G97" s="57">
        <v>12</v>
      </c>
      <c r="H97" s="57">
        <f t="shared" si="14"/>
        <v>0.24</v>
      </c>
      <c r="I97" s="57">
        <f t="shared" si="15"/>
        <v>0.24</v>
      </c>
      <c r="J97" s="57"/>
      <c r="K97" s="57"/>
      <c r="L97" s="57">
        <f t="shared" si="16"/>
        <v>0.24</v>
      </c>
      <c r="M97" s="57"/>
    </row>
    <row r="98" ht="39" spans="1:13">
      <c r="A98" s="40">
        <v>79</v>
      </c>
      <c r="B98" s="55" t="s">
        <v>176</v>
      </c>
      <c r="C98" s="55" t="s">
        <v>80</v>
      </c>
      <c r="D98" s="55" t="s">
        <v>177</v>
      </c>
      <c r="E98" s="58"/>
      <c r="F98" s="57">
        <v>290</v>
      </c>
      <c r="G98" s="57">
        <v>6.5</v>
      </c>
      <c r="H98" s="57">
        <f t="shared" si="14"/>
        <v>0.1885</v>
      </c>
      <c r="I98" s="57">
        <f t="shared" si="15"/>
        <v>0.1885</v>
      </c>
      <c r="J98" s="57"/>
      <c r="K98" s="57"/>
      <c r="L98" s="57">
        <f t="shared" si="16"/>
        <v>0.1885</v>
      </c>
      <c r="M98" s="57"/>
    </row>
    <row r="99" ht="39" spans="1:13">
      <c r="A99" s="40">
        <v>80</v>
      </c>
      <c r="B99" s="55" t="s">
        <v>178</v>
      </c>
      <c r="C99" s="55" t="s">
        <v>179</v>
      </c>
      <c r="D99" s="55" t="s">
        <v>180</v>
      </c>
      <c r="E99" s="58"/>
      <c r="F99" s="57">
        <v>1000</v>
      </c>
      <c r="G99" s="57">
        <v>4</v>
      </c>
      <c r="H99" s="57">
        <f t="shared" si="14"/>
        <v>0.4</v>
      </c>
      <c r="I99" s="57">
        <f t="shared" si="15"/>
        <v>0.4</v>
      </c>
      <c r="J99" s="57"/>
      <c r="K99" s="57">
        <f>50*40/10000</f>
        <v>0.2</v>
      </c>
      <c r="L99" s="57">
        <f t="shared" si="16"/>
        <v>0.6</v>
      </c>
      <c r="M99" s="57"/>
    </row>
    <row r="100" ht="26" spans="1:13">
      <c r="A100" s="37">
        <v>81</v>
      </c>
      <c r="B100" s="59" t="s">
        <v>181</v>
      </c>
      <c r="C100" s="55" t="s">
        <v>179</v>
      </c>
      <c r="D100" s="55" t="s">
        <v>182</v>
      </c>
      <c r="E100" s="58"/>
      <c r="F100" s="57">
        <v>1035</v>
      </c>
      <c r="G100" s="57">
        <v>5.8</v>
      </c>
      <c r="H100" s="57">
        <f t="shared" si="14"/>
        <v>0.6003</v>
      </c>
      <c r="I100" s="57">
        <f t="shared" si="15"/>
        <v>0.6003</v>
      </c>
      <c r="J100" s="57"/>
      <c r="K100" s="57"/>
      <c r="L100" s="57">
        <f t="shared" si="16"/>
        <v>0.6003</v>
      </c>
      <c r="M100" s="57"/>
    </row>
    <row r="101" ht="26" spans="1:13">
      <c r="A101" s="39"/>
      <c r="B101" s="60"/>
      <c r="C101" s="55" t="s">
        <v>183</v>
      </c>
      <c r="D101" s="55" t="s">
        <v>184</v>
      </c>
      <c r="E101" s="58"/>
      <c r="F101" s="57">
        <v>500</v>
      </c>
      <c r="G101" s="57">
        <v>14.2</v>
      </c>
      <c r="H101" s="57">
        <f t="shared" si="14"/>
        <v>0.71</v>
      </c>
      <c r="I101" s="57">
        <f>500*5.2/10000</f>
        <v>0.26</v>
      </c>
      <c r="J101" s="57">
        <f>500*9/10000</f>
        <v>0.45</v>
      </c>
      <c r="K101" s="57">
        <f>50*20/10000+500*5/10000</f>
        <v>0.35</v>
      </c>
      <c r="L101" s="57">
        <f>H101+K101</f>
        <v>1.06</v>
      </c>
      <c r="M101" s="57"/>
    </row>
    <row r="102" ht="39" spans="1:13">
      <c r="A102" s="40">
        <v>82</v>
      </c>
      <c r="B102" s="55" t="s">
        <v>185</v>
      </c>
      <c r="C102" s="55" t="s">
        <v>93</v>
      </c>
      <c r="D102" s="55" t="s">
        <v>186</v>
      </c>
      <c r="E102" s="58"/>
      <c r="F102" s="57">
        <v>375</v>
      </c>
      <c r="G102" s="57">
        <v>12</v>
      </c>
      <c r="H102" s="57">
        <f t="shared" si="14"/>
        <v>0.45</v>
      </c>
      <c r="I102" s="57">
        <f t="shared" ref="I102:I105" si="17">F102*G102/10000</f>
        <v>0.45</v>
      </c>
      <c r="J102" s="57"/>
      <c r="K102" s="57"/>
      <c r="L102" s="57">
        <f t="shared" ref="L102:L105" si="18">I102+J102+K102</f>
        <v>0.45</v>
      </c>
      <c r="M102" s="57"/>
    </row>
    <row r="103" ht="26" spans="1:13">
      <c r="A103" s="40">
        <v>83</v>
      </c>
      <c r="B103" s="55" t="s">
        <v>187</v>
      </c>
      <c r="C103" s="55" t="s">
        <v>188</v>
      </c>
      <c r="D103" s="55" t="s">
        <v>189</v>
      </c>
      <c r="E103" s="58"/>
      <c r="F103" s="57">
        <v>1074</v>
      </c>
      <c r="G103" s="57">
        <v>5</v>
      </c>
      <c r="H103" s="57">
        <f t="shared" si="14"/>
        <v>0.537</v>
      </c>
      <c r="I103" s="57">
        <f t="shared" si="17"/>
        <v>0.537</v>
      </c>
      <c r="J103" s="57"/>
      <c r="K103" s="57"/>
      <c r="L103" s="57">
        <f t="shared" si="18"/>
        <v>0.537</v>
      </c>
      <c r="M103" s="57"/>
    </row>
    <row r="104" ht="39" spans="1:13">
      <c r="A104" s="40">
        <v>84</v>
      </c>
      <c r="B104" s="55" t="s">
        <v>190</v>
      </c>
      <c r="C104" s="55" t="s">
        <v>191</v>
      </c>
      <c r="D104" s="55" t="s">
        <v>192</v>
      </c>
      <c r="E104" s="58"/>
      <c r="F104" s="57">
        <v>279</v>
      </c>
      <c r="G104" s="57">
        <v>12</v>
      </c>
      <c r="H104" s="57">
        <f t="shared" si="14"/>
        <v>0.3348</v>
      </c>
      <c r="I104" s="57">
        <f>279*8/10000</f>
        <v>0.2232</v>
      </c>
      <c r="J104" s="57">
        <f>279*2*2/10000</f>
        <v>0.1116</v>
      </c>
      <c r="K104" s="57"/>
      <c r="L104" s="57">
        <f t="shared" si="18"/>
        <v>0.3348</v>
      </c>
      <c r="M104" s="57"/>
    </row>
    <row r="105" ht="26" spans="1:13">
      <c r="A105" s="40">
        <v>85</v>
      </c>
      <c r="B105" s="55" t="s">
        <v>193</v>
      </c>
      <c r="C105" s="55" t="s">
        <v>109</v>
      </c>
      <c r="D105" s="55" t="s">
        <v>91</v>
      </c>
      <c r="E105" s="58"/>
      <c r="F105" s="57">
        <v>580</v>
      </c>
      <c r="G105" s="57">
        <v>5</v>
      </c>
      <c r="H105" s="57">
        <f t="shared" si="14"/>
        <v>0.29</v>
      </c>
      <c r="I105" s="57">
        <f t="shared" si="17"/>
        <v>0.29</v>
      </c>
      <c r="J105" s="57"/>
      <c r="K105" s="57"/>
      <c r="L105" s="57">
        <f t="shared" si="18"/>
        <v>0.29</v>
      </c>
      <c r="M105" s="57"/>
    </row>
    <row r="106" ht="39" spans="1:13">
      <c r="A106" s="40">
        <v>86</v>
      </c>
      <c r="B106" s="61" t="s">
        <v>194</v>
      </c>
      <c r="C106" s="61" t="s">
        <v>140</v>
      </c>
      <c r="D106" s="61" t="s">
        <v>139</v>
      </c>
      <c r="E106" s="58"/>
      <c r="F106" s="57">
        <v>380</v>
      </c>
      <c r="G106" s="57">
        <v>15</v>
      </c>
      <c r="H106" s="57">
        <f t="shared" si="14"/>
        <v>0.57</v>
      </c>
      <c r="I106" s="57">
        <f>380*9/10000</f>
        <v>0.342</v>
      </c>
      <c r="J106" s="57">
        <f>380*6/10000</f>
        <v>0.228</v>
      </c>
      <c r="K106" s="57">
        <f>230*3/10000</f>
        <v>0.069</v>
      </c>
      <c r="L106" s="57">
        <f>H106+K106</f>
        <v>0.639</v>
      </c>
      <c r="M106" s="57"/>
    </row>
    <row r="107" spans="1:13">
      <c r="A107" s="40">
        <v>87</v>
      </c>
      <c r="B107" s="55" t="s">
        <v>195</v>
      </c>
      <c r="C107" s="55" t="s">
        <v>179</v>
      </c>
      <c r="D107" s="55" t="s">
        <v>196</v>
      </c>
      <c r="E107" s="62"/>
      <c r="F107" s="57">
        <v>160</v>
      </c>
      <c r="G107" s="57">
        <v>7</v>
      </c>
      <c r="H107" s="57">
        <v>0.11</v>
      </c>
      <c r="I107" s="57">
        <v>0.11</v>
      </c>
      <c r="J107" s="57">
        <v>0</v>
      </c>
      <c r="K107" s="57">
        <v>0</v>
      </c>
      <c r="L107" s="57">
        <f>F107*G107/10000</f>
        <v>0.112</v>
      </c>
      <c r="M107" s="57"/>
    </row>
    <row r="108" spans="1:13">
      <c r="A108" s="51" t="s">
        <v>157</v>
      </c>
      <c r="B108" s="52"/>
      <c r="C108" s="53">
        <f>A107-A83</f>
        <v>20</v>
      </c>
      <c r="D108" s="53"/>
      <c r="E108" s="53"/>
      <c r="F108" s="54">
        <f t="shared" ref="F108:M108" si="19">SUM(F86:F107)</f>
        <v>8318</v>
      </c>
      <c r="G108" s="54"/>
      <c r="H108" s="54">
        <f t="shared" si="19"/>
        <v>6.0951</v>
      </c>
      <c r="I108" s="54">
        <f t="shared" si="19"/>
        <v>5.3055</v>
      </c>
      <c r="J108" s="54">
        <f t="shared" si="19"/>
        <v>0.7896</v>
      </c>
      <c r="K108" s="54">
        <f t="shared" si="19"/>
        <v>0.619</v>
      </c>
      <c r="L108" s="54">
        <f t="shared" si="19"/>
        <v>6.7161</v>
      </c>
      <c r="M108" s="54">
        <f t="shared" si="19"/>
        <v>0</v>
      </c>
    </row>
    <row r="109" ht="15" spans="1:13">
      <c r="A109" s="53" t="s">
        <v>197</v>
      </c>
      <c r="B109" s="53"/>
      <c r="C109" s="53">
        <f>C85+C108</f>
        <v>87</v>
      </c>
      <c r="D109" s="63"/>
      <c r="E109" s="63"/>
      <c r="F109" s="54">
        <f t="shared" ref="F109:M109" si="20">F85+F108</f>
        <v>37532.21</v>
      </c>
      <c r="G109" s="54"/>
      <c r="H109" s="54">
        <f t="shared" si="20"/>
        <v>35.03167076</v>
      </c>
      <c r="I109" s="54">
        <f t="shared" si="20"/>
        <v>31.3191612</v>
      </c>
      <c r="J109" s="54">
        <f t="shared" si="20"/>
        <v>3.71442782</v>
      </c>
      <c r="K109" s="54">
        <f t="shared" si="20"/>
        <v>2.484</v>
      </c>
      <c r="L109" s="54">
        <f t="shared" si="20"/>
        <v>37.51958902</v>
      </c>
      <c r="M109" s="54">
        <f t="shared" si="20"/>
        <v>0.27</v>
      </c>
    </row>
  </sheetData>
  <mergeCells count="53">
    <mergeCell ref="A85:B85"/>
    <mergeCell ref="A108:B108"/>
    <mergeCell ref="A109:B109"/>
    <mergeCell ref="A2:A3"/>
    <mergeCell ref="A4:A6"/>
    <mergeCell ref="A8:A9"/>
    <mergeCell ref="A10:A11"/>
    <mergeCell ref="A20:A21"/>
    <mergeCell ref="A40:A41"/>
    <mergeCell ref="A44:A45"/>
    <mergeCell ref="A52:A53"/>
    <mergeCell ref="A58:A59"/>
    <mergeCell ref="A63:A64"/>
    <mergeCell ref="A69:A71"/>
    <mergeCell ref="A74:A75"/>
    <mergeCell ref="A77:A78"/>
    <mergeCell ref="A83:A84"/>
    <mergeCell ref="A90:A91"/>
    <mergeCell ref="A100:A101"/>
    <mergeCell ref="B2:B3"/>
    <mergeCell ref="B4:B6"/>
    <mergeCell ref="B8:B9"/>
    <mergeCell ref="B10:B11"/>
    <mergeCell ref="B20:B21"/>
    <mergeCell ref="B40:B41"/>
    <mergeCell ref="B44:B45"/>
    <mergeCell ref="B52:B53"/>
    <mergeCell ref="B58:B59"/>
    <mergeCell ref="B63:B64"/>
    <mergeCell ref="B69:B71"/>
    <mergeCell ref="B74:B75"/>
    <mergeCell ref="B77:B78"/>
    <mergeCell ref="B83:B84"/>
    <mergeCell ref="B90:B91"/>
    <mergeCell ref="B100:B101"/>
    <mergeCell ref="C2:C3"/>
    <mergeCell ref="C4:C6"/>
    <mergeCell ref="C8:C9"/>
    <mergeCell ref="C20:C21"/>
    <mergeCell ref="C58:C59"/>
    <mergeCell ref="C63:C64"/>
    <mergeCell ref="C74:C75"/>
    <mergeCell ref="C77:C78"/>
    <mergeCell ref="D2:D3"/>
    <mergeCell ref="D4:D6"/>
    <mergeCell ref="D8:D9"/>
    <mergeCell ref="D20:D21"/>
    <mergeCell ref="D58:D59"/>
    <mergeCell ref="D63:D64"/>
    <mergeCell ref="D74:D75"/>
    <mergeCell ref="D77:D78"/>
    <mergeCell ref="E2:E84"/>
    <mergeCell ref="E86:E107"/>
  </mergeCells>
  <pageMargins left="0.7" right="0.7" top="0.75" bottom="0.75" header="0.3" footer="0.3"/>
  <pageSetup paperSize="9" orientation="portrait"/>
  <headerFooter/>
  <ignoredErrors>
    <ignoredError sqref="F85:M85 C85:D8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16" workbookViewId="0">
      <selection activeCell="D30" sqref="D30"/>
    </sheetView>
  </sheetViews>
  <sheetFormatPr defaultColWidth="9" defaultRowHeight="14"/>
  <cols>
    <col min="2" max="2" width="25.7272727272727" customWidth="1"/>
    <col min="3" max="3" width="20.4545454545455" customWidth="1"/>
    <col min="4" max="4" width="20.2727272727273" customWidth="1"/>
    <col min="5" max="5" width="8.09090909090909" customWidth="1"/>
    <col min="6" max="6" width="10.3636363636364"/>
    <col min="8" max="8" width="11.4545454545455"/>
    <col min="9" max="9" width="10.3636363636364"/>
    <col min="10" max="10" width="11.4545454545455"/>
    <col min="12" max="12" width="11.4545454545455"/>
  </cols>
  <sheetData>
    <row r="1" ht="39" spans="1:13">
      <c r="A1" s="8" t="s">
        <v>198</v>
      </c>
      <c r="B1" s="8" t="s">
        <v>1</v>
      </c>
      <c r="C1" s="8" t="s">
        <v>199</v>
      </c>
      <c r="D1" s="8" t="s">
        <v>200</v>
      </c>
      <c r="E1" s="9" t="s">
        <v>4</v>
      </c>
      <c r="F1" s="9" t="s">
        <v>201</v>
      </c>
      <c r="G1" s="9" t="s">
        <v>202</v>
      </c>
      <c r="H1" s="10" t="s">
        <v>203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ht="25" customHeight="1" spans="1:13">
      <c r="A2" s="11">
        <v>1</v>
      </c>
      <c r="B2" s="11" t="s">
        <v>204</v>
      </c>
      <c r="C2" s="12" t="s">
        <v>59</v>
      </c>
      <c r="D2" s="12" t="s">
        <v>205</v>
      </c>
      <c r="E2" s="13" t="s">
        <v>160</v>
      </c>
      <c r="F2" s="14">
        <v>86.42</v>
      </c>
      <c r="G2" s="15">
        <v>4.1</v>
      </c>
      <c r="H2" s="16">
        <f t="shared" ref="H2:H21" si="0">G2*F2/10000</f>
        <v>0.0354322</v>
      </c>
      <c r="I2" s="16">
        <f>4.1*F2/10000</f>
        <v>0.0354322</v>
      </c>
      <c r="J2" s="25">
        <v>0</v>
      </c>
      <c r="K2" s="16">
        <v>0</v>
      </c>
      <c r="L2" s="16">
        <f>K2+J2+I2</f>
        <v>0.0354322</v>
      </c>
      <c r="M2" s="25">
        <v>0</v>
      </c>
    </row>
    <row r="3" ht="25" customHeight="1" spans="1:13">
      <c r="A3" s="17"/>
      <c r="B3" s="17"/>
      <c r="C3" s="12" t="s">
        <v>205</v>
      </c>
      <c r="D3" s="12" t="s">
        <v>59</v>
      </c>
      <c r="E3" s="13" t="s">
        <v>160</v>
      </c>
      <c r="F3" s="14">
        <v>76.55</v>
      </c>
      <c r="G3" s="15">
        <v>7</v>
      </c>
      <c r="H3" s="16">
        <f t="shared" si="0"/>
        <v>0.053585</v>
      </c>
      <c r="I3" s="16">
        <f>7*F3/10000</f>
        <v>0.053585</v>
      </c>
      <c r="J3" s="25">
        <v>0</v>
      </c>
      <c r="K3" s="16">
        <v>0</v>
      </c>
      <c r="L3" s="16">
        <f t="shared" ref="L3:L21" si="1">K3+J3+I3</f>
        <v>0.053585</v>
      </c>
      <c r="M3" s="25">
        <v>0</v>
      </c>
    </row>
    <row r="4" ht="25" customHeight="1" spans="1:13">
      <c r="A4" s="18">
        <v>2</v>
      </c>
      <c r="B4" s="18" t="s">
        <v>206</v>
      </c>
      <c r="C4" s="12" t="s">
        <v>207</v>
      </c>
      <c r="D4" s="12" t="s">
        <v>208</v>
      </c>
      <c r="E4" s="13" t="s">
        <v>160</v>
      </c>
      <c r="F4" s="14">
        <v>0</v>
      </c>
      <c r="G4" s="15">
        <v>0</v>
      </c>
      <c r="H4" s="16">
        <f t="shared" si="0"/>
        <v>0</v>
      </c>
      <c r="I4" s="16">
        <f t="shared" ref="I4:I8" si="2">G4*F4/10000</f>
        <v>0</v>
      </c>
      <c r="J4" s="25">
        <f>(3.5+3.7)*F4/10000</f>
        <v>0</v>
      </c>
      <c r="K4" s="16">
        <v>0</v>
      </c>
      <c r="L4" s="16">
        <f t="shared" si="1"/>
        <v>0</v>
      </c>
      <c r="M4" s="25">
        <v>0</v>
      </c>
    </row>
    <row r="5" ht="25" customHeight="1" spans="1:13">
      <c r="A5" s="18">
        <v>3</v>
      </c>
      <c r="B5" s="18" t="s">
        <v>209</v>
      </c>
      <c r="C5" s="12" t="s">
        <v>85</v>
      </c>
      <c r="D5" s="12" t="s">
        <v>40</v>
      </c>
      <c r="E5" s="13" t="s">
        <v>160</v>
      </c>
      <c r="F5" s="14">
        <v>368.74</v>
      </c>
      <c r="G5" s="15">
        <v>5</v>
      </c>
      <c r="H5" s="16">
        <f t="shared" si="0"/>
        <v>0.18437</v>
      </c>
      <c r="I5" s="16">
        <f t="shared" si="2"/>
        <v>0.18437</v>
      </c>
      <c r="J5" s="25">
        <v>0</v>
      </c>
      <c r="K5" s="16">
        <v>0</v>
      </c>
      <c r="L5" s="16">
        <f t="shared" si="1"/>
        <v>0.18437</v>
      </c>
      <c r="M5" s="25">
        <v>0</v>
      </c>
    </row>
    <row r="6" ht="25" customHeight="1" spans="1:13">
      <c r="A6" s="18">
        <v>4</v>
      </c>
      <c r="B6" s="18" t="s">
        <v>210</v>
      </c>
      <c r="C6" s="12" t="s">
        <v>211</v>
      </c>
      <c r="D6" s="12" t="s">
        <v>85</v>
      </c>
      <c r="E6" s="13" t="s">
        <v>160</v>
      </c>
      <c r="F6" s="14">
        <v>805.78</v>
      </c>
      <c r="G6" s="15">
        <v>5.1</v>
      </c>
      <c r="H6" s="16">
        <f t="shared" si="0"/>
        <v>0.4109478</v>
      </c>
      <c r="I6" s="16">
        <f t="shared" si="2"/>
        <v>0.4109478</v>
      </c>
      <c r="J6" s="25">
        <v>0</v>
      </c>
      <c r="K6" s="16">
        <v>0</v>
      </c>
      <c r="L6" s="16">
        <f t="shared" si="1"/>
        <v>0.4109478</v>
      </c>
      <c r="M6" s="25">
        <v>0</v>
      </c>
    </row>
    <row r="7" ht="25" customHeight="1" spans="1:13">
      <c r="A7" s="18">
        <v>5</v>
      </c>
      <c r="B7" s="18" t="s">
        <v>212</v>
      </c>
      <c r="C7" s="12" t="s">
        <v>68</v>
      </c>
      <c r="D7" s="12" t="s">
        <v>213</v>
      </c>
      <c r="E7" s="13" t="s">
        <v>160</v>
      </c>
      <c r="F7" s="14">
        <v>180.17</v>
      </c>
      <c r="G7" s="15">
        <v>6</v>
      </c>
      <c r="H7" s="16">
        <f t="shared" si="0"/>
        <v>0.108102</v>
      </c>
      <c r="I7" s="16">
        <f t="shared" si="2"/>
        <v>0.108102</v>
      </c>
      <c r="J7" s="25">
        <f>0.5*F7/10000</f>
        <v>0.0090085</v>
      </c>
      <c r="K7" s="16">
        <v>0</v>
      </c>
      <c r="L7" s="16">
        <f t="shared" si="1"/>
        <v>0.1171105</v>
      </c>
      <c r="M7" s="25">
        <v>0</v>
      </c>
    </row>
    <row r="8" ht="25" customHeight="1" spans="1:13">
      <c r="A8" s="18">
        <v>6</v>
      </c>
      <c r="B8" s="18" t="s">
        <v>214</v>
      </c>
      <c r="C8" s="12" t="s">
        <v>215</v>
      </c>
      <c r="D8" s="12" t="s">
        <v>216</v>
      </c>
      <c r="E8" s="13" t="s">
        <v>160</v>
      </c>
      <c r="F8" s="14">
        <v>225.47</v>
      </c>
      <c r="G8" s="15">
        <v>3.9</v>
      </c>
      <c r="H8" s="16">
        <f t="shared" si="0"/>
        <v>0.0879333</v>
      </c>
      <c r="I8" s="16">
        <f t="shared" si="2"/>
        <v>0.0879333</v>
      </c>
      <c r="J8" s="25">
        <v>0</v>
      </c>
      <c r="K8" s="16">
        <f>3.3*F8/10000</f>
        <v>0.0744051</v>
      </c>
      <c r="L8" s="16">
        <f t="shared" si="1"/>
        <v>0.1623384</v>
      </c>
      <c r="M8" s="25">
        <v>0</v>
      </c>
    </row>
    <row r="9" ht="25" customHeight="1" spans="1:13">
      <c r="A9" s="18">
        <v>7</v>
      </c>
      <c r="B9" s="18" t="s">
        <v>217</v>
      </c>
      <c r="C9" s="12" t="s">
        <v>218</v>
      </c>
      <c r="D9" s="12" t="s">
        <v>219</v>
      </c>
      <c r="E9" s="13" t="s">
        <v>160</v>
      </c>
      <c r="F9" s="14">
        <v>30.99</v>
      </c>
      <c r="G9" s="15">
        <f>7.9+2+2</f>
        <v>11.9</v>
      </c>
      <c r="H9" s="16">
        <f t="shared" si="0"/>
        <v>0.0368781</v>
      </c>
      <c r="I9" s="16">
        <f>7.9*F9/10000</f>
        <v>0.0244821</v>
      </c>
      <c r="J9" s="25">
        <f>(2+2)*F9/10000</f>
        <v>0.012396</v>
      </c>
      <c r="K9" s="16">
        <v>0</v>
      </c>
      <c r="L9" s="16">
        <f t="shared" si="1"/>
        <v>0.0368781</v>
      </c>
      <c r="M9" s="25">
        <v>0</v>
      </c>
    </row>
    <row r="10" ht="25" customHeight="1" spans="1:13">
      <c r="A10" s="11">
        <v>8</v>
      </c>
      <c r="B10" s="11" t="s">
        <v>220</v>
      </c>
      <c r="C10" s="12" t="s">
        <v>61</v>
      </c>
      <c r="D10" s="12" t="s">
        <v>221</v>
      </c>
      <c r="E10" s="13" t="s">
        <v>160</v>
      </c>
      <c r="F10" s="14">
        <v>64.97</v>
      </c>
      <c r="G10" s="15">
        <v>5.5</v>
      </c>
      <c r="H10" s="16">
        <f t="shared" si="0"/>
        <v>0.0357335</v>
      </c>
      <c r="I10" s="16">
        <f t="shared" ref="I10:I13" si="3">G10*F10/10000</f>
        <v>0.0357335</v>
      </c>
      <c r="J10" s="25">
        <v>0</v>
      </c>
      <c r="K10" s="16">
        <v>0</v>
      </c>
      <c r="L10" s="16">
        <f t="shared" si="1"/>
        <v>0.0357335</v>
      </c>
      <c r="M10" s="25">
        <v>0</v>
      </c>
    </row>
    <row r="11" ht="25" customHeight="1" spans="1:13">
      <c r="A11" s="17"/>
      <c r="B11" s="17"/>
      <c r="C11" s="12" t="s">
        <v>221</v>
      </c>
      <c r="D11" s="12" t="s">
        <v>171</v>
      </c>
      <c r="E11" s="13" t="s">
        <v>160</v>
      </c>
      <c r="F11" s="14">
        <v>124.15</v>
      </c>
      <c r="G11" s="15">
        <v>3</v>
      </c>
      <c r="H11" s="16">
        <f t="shared" si="0"/>
        <v>0.037245</v>
      </c>
      <c r="I11" s="16">
        <f t="shared" si="3"/>
        <v>0.037245</v>
      </c>
      <c r="J11" s="25">
        <v>0</v>
      </c>
      <c r="K11" s="16">
        <v>0</v>
      </c>
      <c r="L11" s="16">
        <f t="shared" si="1"/>
        <v>0.037245</v>
      </c>
      <c r="M11" s="25">
        <v>0</v>
      </c>
    </row>
    <row r="12" ht="25" customHeight="1" spans="1:13">
      <c r="A12" s="18">
        <v>9</v>
      </c>
      <c r="B12" s="18" t="s">
        <v>222</v>
      </c>
      <c r="C12" s="12" t="s">
        <v>223</v>
      </c>
      <c r="D12" s="12" t="s">
        <v>224</v>
      </c>
      <c r="E12" s="13" t="s">
        <v>160</v>
      </c>
      <c r="F12" s="14">
        <v>89.99</v>
      </c>
      <c r="G12" s="15">
        <v>4.3</v>
      </c>
      <c r="H12" s="16">
        <f t="shared" si="0"/>
        <v>0.0386957</v>
      </c>
      <c r="I12" s="16">
        <f t="shared" si="3"/>
        <v>0.0386957</v>
      </c>
      <c r="J12" s="25">
        <v>0</v>
      </c>
      <c r="K12" s="16">
        <v>0</v>
      </c>
      <c r="L12" s="16">
        <f t="shared" si="1"/>
        <v>0.0386957</v>
      </c>
      <c r="M12" s="25">
        <v>0</v>
      </c>
    </row>
    <row r="13" ht="25" customHeight="1" spans="1:13">
      <c r="A13" s="18">
        <v>10</v>
      </c>
      <c r="B13" s="18" t="s">
        <v>225</v>
      </c>
      <c r="C13" s="12" t="s">
        <v>226</v>
      </c>
      <c r="D13" s="12" t="s">
        <v>227</v>
      </c>
      <c r="E13" s="13" t="s">
        <v>160</v>
      </c>
      <c r="F13" s="14">
        <v>97.33</v>
      </c>
      <c r="G13" s="15">
        <v>4.7</v>
      </c>
      <c r="H13" s="16">
        <f t="shared" si="0"/>
        <v>0.0457451</v>
      </c>
      <c r="I13" s="16">
        <f t="shared" si="3"/>
        <v>0.0457451</v>
      </c>
      <c r="J13" s="25">
        <v>0</v>
      </c>
      <c r="K13" s="16">
        <f>3*F13/10000</f>
        <v>0.029199</v>
      </c>
      <c r="L13" s="16">
        <f t="shared" si="1"/>
        <v>0.0749441</v>
      </c>
      <c r="M13" s="25">
        <v>0</v>
      </c>
    </row>
    <row r="14" ht="25" customHeight="1" spans="1:13">
      <c r="A14" s="18">
        <v>11</v>
      </c>
      <c r="B14" s="18" t="s">
        <v>228</v>
      </c>
      <c r="C14" s="12" t="s">
        <v>229</v>
      </c>
      <c r="D14" s="12" t="s">
        <v>230</v>
      </c>
      <c r="E14" s="13" t="s">
        <v>160</v>
      </c>
      <c r="F14" s="14">
        <v>82.3</v>
      </c>
      <c r="G14" s="15">
        <f>5.9+1.5</f>
        <v>7.4</v>
      </c>
      <c r="H14" s="16">
        <f t="shared" si="0"/>
        <v>0.060902</v>
      </c>
      <c r="I14" s="16">
        <f>5.9*F14/10000</f>
        <v>0.048557</v>
      </c>
      <c r="J14" s="25">
        <f>1.5*F14/10000</f>
        <v>0.012345</v>
      </c>
      <c r="K14" s="16">
        <v>0</v>
      </c>
      <c r="L14" s="16">
        <f t="shared" si="1"/>
        <v>0.060902</v>
      </c>
      <c r="M14" s="25">
        <v>0</v>
      </c>
    </row>
    <row r="15" ht="25" customHeight="1" spans="1:13">
      <c r="A15" s="11">
        <v>12</v>
      </c>
      <c r="B15" s="18" t="s">
        <v>231</v>
      </c>
      <c r="C15" s="12" t="s">
        <v>232</v>
      </c>
      <c r="D15" s="12" t="s">
        <v>233</v>
      </c>
      <c r="E15" s="13" t="s">
        <v>160</v>
      </c>
      <c r="F15" s="14">
        <v>173.63</v>
      </c>
      <c r="G15" s="15">
        <v>4.8</v>
      </c>
      <c r="H15" s="16">
        <f t="shared" si="0"/>
        <v>0.0833424</v>
      </c>
      <c r="I15" s="16">
        <f t="shared" ref="I15:I21" si="4">G15*F15/10000</f>
        <v>0.0833424</v>
      </c>
      <c r="J15" s="25">
        <v>0</v>
      </c>
      <c r="K15" s="16">
        <v>0</v>
      </c>
      <c r="L15" s="16">
        <f t="shared" si="1"/>
        <v>0.0833424</v>
      </c>
      <c r="M15" s="25">
        <v>0</v>
      </c>
    </row>
    <row r="16" ht="25" customHeight="1" spans="1:13">
      <c r="A16" s="17"/>
      <c r="B16" s="18" t="s">
        <v>79</v>
      </c>
      <c r="C16" s="12" t="s">
        <v>234</v>
      </c>
      <c r="D16" s="12" t="s">
        <v>232</v>
      </c>
      <c r="E16" s="13" t="s">
        <v>160</v>
      </c>
      <c r="F16" s="14">
        <v>122.56</v>
      </c>
      <c r="G16" s="15">
        <f>5.12+1.47+1.9</f>
        <v>8.49</v>
      </c>
      <c r="H16" s="16">
        <f t="shared" si="0"/>
        <v>0.10405344</v>
      </c>
      <c r="I16" s="16">
        <f>5.12*F16/10000</f>
        <v>0.06275072</v>
      </c>
      <c r="J16" s="25">
        <f>(1.47+1.9)*F16/10000</f>
        <v>0.04130272</v>
      </c>
      <c r="K16" s="16">
        <v>0</v>
      </c>
      <c r="L16" s="16">
        <f t="shared" si="1"/>
        <v>0.10405344</v>
      </c>
      <c r="M16" s="25">
        <v>0</v>
      </c>
    </row>
    <row r="17" ht="25" customHeight="1" spans="1:13">
      <c r="A17" s="18">
        <v>13</v>
      </c>
      <c r="B17" s="18" t="s">
        <v>235</v>
      </c>
      <c r="C17" s="12" t="s">
        <v>104</v>
      </c>
      <c r="D17" s="12" t="s">
        <v>236</v>
      </c>
      <c r="E17" s="13" t="s">
        <v>160</v>
      </c>
      <c r="F17" s="14">
        <v>395.5</v>
      </c>
      <c r="G17" s="15">
        <v>6.8</v>
      </c>
      <c r="H17" s="16">
        <f t="shared" si="0"/>
        <v>0.26894</v>
      </c>
      <c r="I17" s="16">
        <f t="shared" si="4"/>
        <v>0.26894</v>
      </c>
      <c r="J17" s="25">
        <v>0</v>
      </c>
      <c r="K17" s="16">
        <v>0</v>
      </c>
      <c r="L17" s="16">
        <f t="shared" si="1"/>
        <v>0.26894</v>
      </c>
      <c r="M17" s="25">
        <v>0</v>
      </c>
    </row>
    <row r="18" ht="25" customHeight="1" spans="1:13">
      <c r="A18" s="18">
        <v>14</v>
      </c>
      <c r="B18" s="18" t="s">
        <v>92</v>
      </c>
      <c r="C18" s="12" t="s">
        <v>237</v>
      </c>
      <c r="D18" s="12" t="s">
        <v>238</v>
      </c>
      <c r="E18" s="13" t="s">
        <v>160</v>
      </c>
      <c r="F18" s="14">
        <v>125.9</v>
      </c>
      <c r="G18" s="15">
        <v>3</v>
      </c>
      <c r="H18" s="16">
        <f t="shared" si="0"/>
        <v>0.03777</v>
      </c>
      <c r="I18" s="16">
        <f t="shared" si="4"/>
        <v>0.03777</v>
      </c>
      <c r="J18" s="25">
        <v>0</v>
      </c>
      <c r="K18" s="16">
        <v>0</v>
      </c>
      <c r="L18" s="16">
        <f t="shared" si="1"/>
        <v>0.03777</v>
      </c>
      <c r="M18" s="25">
        <v>0</v>
      </c>
    </row>
    <row r="19" ht="25" customHeight="1" spans="1:13">
      <c r="A19" s="11">
        <v>15</v>
      </c>
      <c r="B19" s="11" t="s">
        <v>108</v>
      </c>
      <c r="C19" s="19" t="s">
        <v>239</v>
      </c>
      <c r="D19" s="12" t="s">
        <v>240</v>
      </c>
      <c r="E19" s="13" t="s">
        <v>160</v>
      </c>
      <c r="F19" s="14">
        <v>78.63</v>
      </c>
      <c r="G19" s="15">
        <v>4.7</v>
      </c>
      <c r="H19" s="16">
        <f t="shared" si="0"/>
        <v>0.0369561</v>
      </c>
      <c r="I19" s="16">
        <f t="shared" si="4"/>
        <v>0.0369561</v>
      </c>
      <c r="J19" s="25">
        <f>(1.5+1.8)*F19/10000</f>
        <v>0.0259479</v>
      </c>
      <c r="K19" s="16">
        <v>0</v>
      </c>
      <c r="L19" s="16">
        <f t="shared" si="1"/>
        <v>0.062904</v>
      </c>
      <c r="M19" s="25">
        <v>0</v>
      </c>
    </row>
    <row r="20" ht="25" customHeight="1" spans="1:13">
      <c r="A20" s="17"/>
      <c r="B20" s="17"/>
      <c r="C20" s="19" t="s">
        <v>240</v>
      </c>
      <c r="D20" s="12" t="s">
        <v>241</v>
      </c>
      <c r="E20" s="13" t="s">
        <v>160</v>
      </c>
      <c r="F20" s="14">
        <v>69.03</v>
      </c>
      <c r="G20" s="15">
        <v>2</v>
      </c>
      <c r="H20" s="16">
        <f t="shared" si="0"/>
        <v>0.013806</v>
      </c>
      <c r="I20" s="16">
        <f t="shared" si="4"/>
        <v>0.013806</v>
      </c>
      <c r="J20" s="25">
        <f>(1.5+1.8)*F20/10000</f>
        <v>0.0227799</v>
      </c>
      <c r="K20" s="16">
        <v>0</v>
      </c>
      <c r="L20" s="16">
        <f t="shared" si="1"/>
        <v>0.0365859</v>
      </c>
      <c r="M20" s="25">
        <v>0</v>
      </c>
    </row>
    <row r="21" ht="41" customHeight="1" spans="1:13">
      <c r="A21" s="18">
        <v>16</v>
      </c>
      <c r="B21" s="18" t="s">
        <v>242</v>
      </c>
      <c r="C21" s="20" t="s">
        <v>107</v>
      </c>
      <c r="D21" s="12" t="s">
        <v>88</v>
      </c>
      <c r="E21" s="13" t="s">
        <v>160</v>
      </c>
      <c r="F21" s="14">
        <v>163.38</v>
      </c>
      <c r="G21" s="15">
        <v>1.6</v>
      </c>
      <c r="H21" s="16">
        <f t="shared" si="0"/>
        <v>0.0261408</v>
      </c>
      <c r="I21" s="16">
        <f t="shared" si="4"/>
        <v>0.0261408</v>
      </c>
      <c r="J21" s="25">
        <v>0</v>
      </c>
      <c r="K21" s="16">
        <f>1.2*F21/10000</f>
        <v>0.0196056</v>
      </c>
      <c r="L21" s="16">
        <f t="shared" si="1"/>
        <v>0.0457464</v>
      </c>
      <c r="M21" s="25">
        <v>0</v>
      </c>
    </row>
    <row r="22" s="7" customFormat="1" ht="24" customHeight="1" spans="1:13">
      <c r="A22" s="21" t="s">
        <v>157</v>
      </c>
      <c r="B22" s="22"/>
      <c r="C22" s="23"/>
      <c r="D22" s="8"/>
      <c r="E22" s="8"/>
      <c r="F22" s="24">
        <f>SUM(F2:F21)</f>
        <v>3361.49</v>
      </c>
      <c r="G22" s="24">
        <f t="shared" ref="G22:M22" si="5">SUM(G2:G21)</f>
        <v>99.29</v>
      </c>
      <c r="H22" s="24">
        <f t="shared" si="5"/>
        <v>1.70657844</v>
      </c>
      <c r="I22" s="24">
        <f t="shared" si="5"/>
        <v>1.64053472</v>
      </c>
      <c r="J22" s="24">
        <f t="shared" si="5"/>
        <v>0.12378002</v>
      </c>
      <c r="K22" s="24">
        <f t="shared" si="5"/>
        <v>0.1232097</v>
      </c>
      <c r="L22" s="26">
        <f t="shared" si="5"/>
        <v>1.88752444</v>
      </c>
      <c r="M22" s="24">
        <f t="shared" si="5"/>
        <v>0</v>
      </c>
    </row>
    <row r="23" ht="25" customHeight="1" spans="1:13">
      <c r="A23" s="18">
        <v>17</v>
      </c>
      <c r="B23" s="18" t="s">
        <v>243</v>
      </c>
      <c r="C23" s="20" t="s">
        <v>244</v>
      </c>
      <c r="D23" s="12" t="s">
        <v>245</v>
      </c>
      <c r="E23" s="13" t="s">
        <v>160</v>
      </c>
      <c r="F23" s="14">
        <v>77.89</v>
      </c>
      <c r="G23" s="15">
        <v>3.22</v>
      </c>
      <c r="H23" s="16">
        <v>0.02508058</v>
      </c>
      <c r="I23" s="16">
        <v>0.02508058</v>
      </c>
      <c r="J23" s="25">
        <v>0</v>
      </c>
      <c r="K23" s="16">
        <v>0</v>
      </c>
      <c r="L23" s="16">
        <v>0.02508058</v>
      </c>
      <c r="M23" s="25">
        <v>0</v>
      </c>
    </row>
    <row r="24" ht="25" customHeight="1" spans="1:13">
      <c r="A24" s="18">
        <v>18</v>
      </c>
      <c r="B24" s="18" t="s">
        <v>246</v>
      </c>
      <c r="C24" s="20" t="s">
        <v>40</v>
      </c>
      <c r="D24" s="12" t="s">
        <v>247</v>
      </c>
      <c r="E24" s="13" t="s">
        <v>160</v>
      </c>
      <c r="F24" s="14">
        <v>0</v>
      </c>
      <c r="G24" s="15">
        <v>0</v>
      </c>
      <c r="H24" s="16">
        <v>0</v>
      </c>
      <c r="I24" s="16">
        <v>0</v>
      </c>
      <c r="J24" s="25">
        <v>0</v>
      </c>
      <c r="K24" s="16">
        <v>0.1615</v>
      </c>
      <c r="L24" s="16">
        <v>0.1615</v>
      </c>
      <c r="M24" s="25">
        <v>0</v>
      </c>
    </row>
    <row r="25" s="7" customFormat="1" ht="24" customHeight="1" spans="1:13">
      <c r="A25" s="21" t="s">
        <v>157</v>
      </c>
      <c r="B25" s="22"/>
      <c r="C25" s="23"/>
      <c r="D25" s="8"/>
      <c r="E25" s="8"/>
      <c r="F25" s="24">
        <f>SUM(F23:F24)</f>
        <v>77.89</v>
      </c>
      <c r="G25" s="24">
        <f t="shared" ref="G25:M25" si="6">SUM(G23:G24)</f>
        <v>3.22</v>
      </c>
      <c r="H25" s="24">
        <f t="shared" si="6"/>
        <v>0.02508058</v>
      </c>
      <c r="I25" s="24">
        <f t="shared" si="6"/>
        <v>0.02508058</v>
      </c>
      <c r="J25" s="24">
        <f t="shared" si="6"/>
        <v>0</v>
      </c>
      <c r="K25" s="24">
        <f t="shared" si="6"/>
        <v>0.1615</v>
      </c>
      <c r="L25" s="27">
        <f t="shared" si="6"/>
        <v>0.18658058</v>
      </c>
      <c r="M25" s="24">
        <f t="shared" si="6"/>
        <v>0</v>
      </c>
    </row>
  </sheetData>
  <mergeCells count="9">
    <mergeCell ref="A22:B22"/>
    <mergeCell ref="A25:B25"/>
    <mergeCell ref="A2:A3"/>
    <mergeCell ref="A10:A11"/>
    <mergeCell ref="A15:A16"/>
    <mergeCell ref="A19:A20"/>
    <mergeCell ref="B2:B3"/>
    <mergeCell ref="B10:B11"/>
    <mergeCell ref="B19:B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C15" sqref="C15"/>
    </sheetView>
  </sheetViews>
  <sheetFormatPr defaultColWidth="9" defaultRowHeight="14" outlineLevelRow="6" outlineLevelCol="2"/>
  <cols>
    <col min="1" max="1" width="10.0909090909091" customWidth="1"/>
    <col min="2" max="2" width="34.4545454545455" customWidth="1"/>
    <col min="3" max="3" width="19.9090909090909" customWidth="1"/>
  </cols>
  <sheetData>
    <row r="1" ht="30" customHeight="1" spans="1:3">
      <c r="A1" s="1" t="s">
        <v>0</v>
      </c>
      <c r="B1" s="1" t="s">
        <v>248</v>
      </c>
      <c r="C1" s="1" t="s">
        <v>249</v>
      </c>
    </row>
    <row r="2" ht="22" customHeight="1" spans="1:3">
      <c r="A2" s="2">
        <v>1</v>
      </c>
      <c r="B2" s="3" t="s">
        <v>250</v>
      </c>
      <c r="C2" s="4" t="s">
        <v>251</v>
      </c>
    </row>
    <row r="3" ht="22" customHeight="1" spans="1:3">
      <c r="A3" s="2">
        <v>2</v>
      </c>
      <c r="B3" s="3" t="s">
        <v>252</v>
      </c>
      <c r="C3" s="4" t="s">
        <v>253</v>
      </c>
    </row>
    <row r="4" ht="22" customHeight="1" spans="1:3">
      <c r="A4" s="2">
        <v>3</v>
      </c>
      <c r="B4" s="3" t="s">
        <v>254</v>
      </c>
      <c r="C4" s="4" t="s">
        <v>251</v>
      </c>
    </row>
    <row r="5" ht="22" customHeight="1" spans="1:3">
      <c r="A5" s="2">
        <v>4</v>
      </c>
      <c r="B5" s="2" t="s">
        <v>255</v>
      </c>
      <c r="C5" s="2" t="s">
        <v>251</v>
      </c>
    </row>
    <row r="6" ht="22" customHeight="1" spans="1:3">
      <c r="A6" s="5" t="s">
        <v>256</v>
      </c>
      <c r="B6" s="5">
        <v>4</v>
      </c>
      <c r="C6" s="5"/>
    </row>
    <row r="7" spans="1:3">
      <c r="A7" s="6"/>
      <c r="B7" s="6"/>
      <c r="C7" s="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街巷（设施量内）</vt:lpstr>
      <vt:lpstr>设施量外街巷</vt:lpstr>
      <vt:lpstr>设施量外公厕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WPS_1699528920</cp:lastModifiedBy>
  <dcterms:created xsi:type="dcterms:W3CDTF">2023-05-12T11:15:00Z</dcterms:created>
  <dcterms:modified xsi:type="dcterms:W3CDTF">2025-09-09T08:45:52Z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8D71708E233A42F695BC69B8E39D8C34_13</vt:lpwstr>
  </property>
</Properties>
</file>